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0" yWindow="120" windowWidth="27735" windowHeight="15270"/>
  </bookViews>
  <sheets>
    <sheet name="Sheet1" sheetId="1" r:id="rId1"/>
    <sheet name="Sheet2" sheetId="2" state="hidden" r:id="rId2"/>
  </sheets>
  <definedNames>
    <definedName name="ActualRateA">Sheet2!$C$70</definedName>
    <definedName name="ActualRateB">Sheet2!$D$70</definedName>
    <definedName name="ActualRateC">Sheet2!$E$70</definedName>
    <definedName name="ActualRateD">Sheet2!$F$70</definedName>
    <definedName name="BitsPerHzA">Sheet2!$C$72</definedName>
    <definedName name="BitsPerHzB">Sheet2!$D$72</definedName>
    <definedName name="BitsPerHzC">Sheet2!$E$72</definedName>
    <definedName name="BitsPerHzD">Sheet2!$F$72</definedName>
    <definedName name="CarrierPwrA">Sheet2!$C$166</definedName>
    <definedName name="CarrierPwrAB">Sheet1!$K$9</definedName>
    <definedName name="CarrierPwrATotal">Sheet2!$C$170</definedName>
    <definedName name="CarrierPwrB">Sheet2!$D$166</definedName>
    <definedName name="CarrierPwrBTotal">Sheet2!$E$170</definedName>
    <definedName name="CarrierPwrC">Sheet2!$E$166</definedName>
    <definedName name="CarrierPwrCD">Sheet1!$K$14</definedName>
    <definedName name="CarrierPwrD">Sheet2!$F$166</definedName>
    <definedName name="CarrierPwrList">Sheet2!$B$163:$B$165</definedName>
    <definedName name="CarrierPwrTotal">Sheet1!$K$19</definedName>
    <definedName name="CarrierTotalPwrList">Sheet2!$B$168:$B$169</definedName>
    <definedName name="DataRateI">Sheet1!$D$17</definedName>
    <definedName name="DataRateO">Sheet1!$D$12</definedName>
    <definedName name="DelayA">Sheet2!$C$79</definedName>
    <definedName name="DelayB">Sheet2!$D$79</definedName>
    <definedName name="DelayC">Sheet2!$E$79</definedName>
    <definedName name="DelayD">Sheet2!$F$79</definedName>
    <definedName name="EbNoA">Sheet2!$C$74</definedName>
    <definedName name="EbNoAUser">Sheet1!$L$10</definedName>
    <definedName name="EbNoB">Sheet2!$D$74</definedName>
    <definedName name="EbNoBUser">Sheet1!$L$11</definedName>
    <definedName name="EbNoC">Sheet2!$E$74</definedName>
    <definedName name="EbNoCUser">Sheet1!$L$15</definedName>
    <definedName name="EbNoD">Sheet2!$F$74</definedName>
    <definedName name="EbNoDUser">Sheet1!$L$16</definedName>
    <definedName name="FecOptionA">Sheet1!$F$10</definedName>
    <definedName name="FecOptionAList">Sheet2!$C$10:$C$16</definedName>
    <definedName name="FecOptionB">Sheet1!$F$11</definedName>
    <definedName name="FecOptionBList">Sheet2!$D$10:$D$16</definedName>
    <definedName name="FecOptionC">Sheet1!$F$15</definedName>
    <definedName name="FecOptionCList">Sheet2!$E$10:$E$16</definedName>
    <definedName name="FecOptionD">Sheet1!$F$16</definedName>
    <definedName name="FecOptionDList">Sheet2!$F$10:$F$16</definedName>
    <definedName name="FecRateA">Sheet1!$G$10</definedName>
    <definedName name="FecRateAList">Sheet2!$C$20:$C$28</definedName>
    <definedName name="FecRateB">Sheet1!$G$11</definedName>
    <definedName name="FecRateBList">Sheet2!$D$20:$D$28</definedName>
    <definedName name="FecRateC">Sheet1!$G$15</definedName>
    <definedName name="FecRateCList">Sheet2!$E$20:$E$28</definedName>
    <definedName name="FecRateD">Sheet1!$G$16</definedName>
    <definedName name="FecRateDList">Sheet2!$F$20:$F$28</definedName>
    <definedName name="FecTypeA">Sheet1!$E$10</definedName>
    <definedName name="FecTypeAList">Sheet2!$C$3:$C$7</definedName>
    <definedName name="FecTypeB">Sheet1!$E$11</definedName>
    <definedName name="FecTypeBList">Sheet2!$D$3:$D$7</definedName>
    <definedName name="FecTypeC">Sheet1!$E$15</definedName>
    <definedName name="FecTypeCList">Sheet2!$E$3:$E$7</definedName>
    <definedName name="FecTypeD">Sheet1!$E$16</definedName>
    <definedName name="FecTypeDList">Sheet2!$F$3:$F$7</definedName>
    <definedName name="ModA">Sheet1!$D$10</definedName>
    <definedName name="ModB">Sheet1!$D$11</definedName>
    <definedName name="ModBitsA">Sheet2!$C$71</definedName>
    <definedName name="ModBitsB">Sheet2!$D$71</definedName>
    <definedName name="ModBitsC">Sheet2!$E$71</definedName>
    <definedName name="ModBitsD">Sheet2!$F$71</definedName>
    <definedName name="ModC">Sheet1!$D$15</definedName>
    <definedName name="ModD">Sheet1!$D$16</definedName>
    <definedName name="ModulationList">Sheet2!$B$3:$B$8</definedName>
    <definedName name="OccupiedBwA">Sheet1!$J$10</definedName>
    <definedName name="OccupiedBwAScale">Sheet1!$C$10</definedName>
    <definedName name="OccupiedBwB">Sheet1!$J$11</definedName>
    <definedName name="OccupiedBwBScale">Sheet1!$C$11</definedName>
    <definedName name="OccupiedBwC">Sheet1!$J$15</definedName>
    <definedName name="OccupiedBwCScale">Sheet1!$C$15</definedName>
    <definedName name="OccupiedBwD">Sheet1!$J$16</definedName>
    <definedName name="OccupiedBwDScale">Sheet1!$C$16</definedName>
    <definedName name="OccupiedBwList">Sheet2!$B$156:$B$161</definedName>
    <definedName name="SpecEffA">Sheet1!$I$10</definedName>
    <definedName name="SpecEffB">Sheet1!$I$11</definedName>
    <definedName name="SpecEffC">Sheet1!$I$15</definedName>
    <definedName name="SpecEffD">Sheet1!$I$16</definedName>
  </definedNames>
  <calcPr calcId="125725" iterate="1"/>
</workbook>
</file>

<file path=xl/calcChain.xml><?xml version="1.0" encoding="utf-8"?>
<calcChain xmlns="http://schemas.openxmlformats.org/spreadsheetml/2006/main">
  <c r="F16" i="2"/>
  <c r="F15"/>
  <c r="F14"/>
  <c r="F13"/>
  <c r="F12"/>
  <c r="F11"/>
  <c r="F10"/>
  <c r="E16"/>
  <c r="E15"/>
  <c r="E14"/>
  <c r="E13"/>
  <c r="E12"/>
  <c r="E11"/>
  <c r="E10"/>
  <c r="D16"/>
  <c r="D15"/>
  <c r="D14"/>
  <c r="D13"/>
  <c r="D12"/>
  <c r="D11"/>
  <c r="D10"/>
  <c r="C16"/>
  <c r="C15"/>
  <c r="C14"/>
  <c r="C13"/>
  <c r="C12"/>
  <c r="C11"/>
  <c r="C10"/>
  <c r="F7"/>
  <c r="E7"/>
  <c r="D7"/>
  <c r="C7"/>
  <c r="F6"/>
  <c r="F5"/>
  <c r="F4"/>
  <c r="F3"/>
  <c r="E6"/>
  <c r="E5"/>
  <c r="E4"/>
  <c r="E3"/>
  <c r="D6"/>
  <c r="D5"/>
  <c r="D4"/>
  <c r="D3"/>
  <c r="C6"/>
  <c r="C5"/>
  <c r="C4"/>
  <c r="C3"/>
  <c r="E154"/>
  <c r="E77" s="1"/>
  <c r="C154"/>
  <c r="C77" s="1"/>
  <c r="H20" i="1"/>
  <c r="F73" i="2"/>
  <c r="F74" s="1"/>
  <c r="L16" i="1" s="1"/>
  <c r="F164" i="2" s="1"/>
  <c r="E73"/>
  <c r="E74" s="1"/>
  <c r="L15" i="1" s="1"/>
  <c r="E164" i="2" s="1"/>
  <c r="F71"/>
  <c r="E71"/>
  <c r="C71"/>
  <c r="F70"/>
  <c r="H16" i="1" s="1"/>
  <c r="E70" i="2"/>
  <c r="H15" i="1" s="1"/>
  <c r="C70" i="2"/>
  <c r="H10" i="1" s="1"/>
  <c r="F18" i="2"/>
  <c r="F25" s="1"/>
  <c r="E18"/>
  <c r="E26" s="1"/>
  <c r="D73"/>
  <c r="D74" s="1"/>
  <c r="L11" i="1" s="1"/>
  <c r="D71" i="2"/>
  <c r="D70"/>
  <c r="H11" i="1" s="1"/>
  <c r="C73" i="2"/>
  <c r="C74" s="1"/>
  <c r="L10" i="1" s="1"/>
  <c r="D18" i="2"/>
  <c r="D27" s="1"/>
  <c r="C18"/>
  <c r="C28" s="1"/>
  <c r="C164" l="1"/>
  <c r="C169"/>
  <c r="D164"/>
  <c r="E169"/>
  <c r="C25"/>
  <c r="D22"/>
  <c r="D26"/>
  <c r="E21"/>
  <c r="E25"/>
  <c r="F20"/>
  <c r="F24"/>
  <c r="F28"/>
  <c r="D21"/>
  <c r="D25"/>
  <c r="E20"/>
  <c r="E24"/>
  <c r="E28"/>
  <c r="F23"/>
  <c r="F27"/>
  <c r="D20"/>
  <c r="D24"/>
  <c r="D28"/>
  <c r="E23"/>
  <c r="E27"/>
  <c r="F22"/>
  <c r="F26"/>
  <c r="D23"/>
  <c r="E22"/>
  <c r="F21"/>
  <c r="C23"/>
  <c r="C27"/>
  <c r="C22"/>
  <c r="C26"/>
  <c r="C21"/>
  <c r="C20"/>
  <c r="C24"/>
  <c r="E78"/>
  <c r="F77"/>
  <c r="F78"/>
  <c r="E75"/>
  <c r="C76"/>
  <c r="C75"/>
  <c r="D77"/>
  <c r="D78"/>
  <c r="C78"/>
  <c r="E76"/>
  <c r="F72"/>
  <c r="I16" i="1" s="1"/>
  <c r="J16" s="1"/>
  <c r="E72" i="2"/>
  <c r="I15" i="1" s="1"/>
  <c r="J15" s="1"/>
  <c r="H17"/>
  <c r="L17"/>
  <c r="L21"/>
  <c r="L20"/>
  <c r="F79" i="2" l="1"/>
  <c r="M16" i="1" s="1"/>
  <c r="E79" i="2"/>
  <c r="M15" i="1" s="1"/>
  <c r="C79" i="2"/>
  <c r="M10" i="1" s="1"/>
  <c r="D79" i="2"/>
  <c r="M11" i="1" s="1"/>
  <c r="L22"/>
  <c r="L12"/>
  <c r="D72" i="2"/>
  <c r="H12" i="1"/>
  <c r="C72" i="2"/>
  <c r="I10" i="1" l="1"/>
  <c r="J10" s="1"/>
  <c r="I11"/>
  <c r="J11" s="1"/>
  <c r="E163" i="2"/>
  <c r="E166" s="1"/>
  <c r="K15" i="1" s="1"/>
  <c r="E165" i="2"/>
  <c r="F163"/>
  <c r="F166" s="1"/>
  <c r="K16" i="1" s="1"/>
  <c r="F165" i="2"/>
  <c r="M17" i="1"/>
  <c r="M20"/>
  <c r="M12"/>
  <c r="M21"/>
  <c r="C165" i="2" l="1"/>
  <c r="D165"/>
  <c r="C168"/>
  <c r="C170" s="1"/>
  <c r="K20" i="1" s="1"/>
  <c r="C163" i="2"/>
  <c r="E168"/>
  <c r="E170" s="1"/>
  <c r="K21" i="1" s="1"/>
  <c r="D163" i="2"/>
  <c r="D166" s="1"/>
  <c r="K11" i="1" s="1"/>
  <c r="K17"/>
  <c r="C166" i="2"/>
  <c r="K10" i="1" s="1"/>
  <c r="J21"/>
  <c r="J20"/>
  <c r="I20" s="1"/>
  <c r="M22"/>
  <c r="J12"/>
  <c r="I12"/>
  <c r="I17"/>
  <c r="J17"/>
  <c r="K22" l="1"/>
  <c r="J22"/>
  <c r="K12"/>
  <c r="I21"/>
  <c r="I22" s="1"/>
</calcChain>
</file>

<file path=xl/sharedStrings.xml><?xml version="1.0" encoding="utf-8"?>
<sst xmlns="http://schemas.openxmlformats.org/spreadsheetml/2006/main" count="794" uniqueCount="218">
  <si>
    <t>BPSK</t>
  </si>
  <si>
    <t>QPSK</t>
  </si>
  <si>
    <t>OQPSK</t>
  </si>
  <si>
    <t>8PSK</t>
  </si>
  <si>
    <t>8QAM</t>
  </si>
  <si>
    <t>16QAM</t>
  </si>
  <si>
    <t>Viterbi</t>
  </si>
  <si>
    <t>None</t>
  </si>
  <si>
    <t>TCM</t>
  </si>
  <si>
    <t>TPC</t>
  </si>
  <si>
    <t>LDPC</t>
  </si>
  <si>
    <t>Modulation</t>
  </si>
  <si>
    <t xml:space="preserve"> </t>
  </si>
  <si>
    <t>RS-CT</t>
  </si>
  <si>
    <t>CT</t>
  </si>
  <si>
    <t>Advanced</t>
  </si>
  <si>
    <t>256 Block</t>
  </si>
  <si>
    <t>512 Block</t>
  </si>
  <si>
    <t>1k Block</t>
  </si>
  <si>
    <t>2k Block</t>
  </si>
  <si>
    <t>4k Block</t>
  </si>
  <si>
    <t>8k Block</t>
  </si>
  <si>
    <t>16k Block</t>
  </si>
  <si>
    <t>FEC Type</t>
  </si>
  <si>
    <t>FEC Option</t>
  </si>
  <si>
    <t>FEC Code Rate</t>
  </si>
  <si>
    <t>BPSK:None:None</t>
  </si>
  <si>
    <t>OQPSK:None:None</t>
  </si>
  <si>
    <t>8PSK:None:None</t>
  </si>
  <si>
    <t>8QAM:None:None</t>
  </si>
  <si>
    <t>16QAM:None:None</t>
  </si>
  <si>
    <t>QPSK:Viterbi:None</t>
  </si>
  <si>
    <t>OQPSK:Viterbi:None</t>
  </si>
  <si>
    <t>16QAM:Viterbi:None</t>
  </si>
  <si>
    <t>BPSK:Viterbi:None</t>
  </si>
  <si>
    <t>QPSK:None:None</t>
  </si>
  <si>
    <t>BPSK:Viterbi:RS-CT</t>
  </si>
  <si>
    <t>QPSK:Viterbi:RS-CT</t>
  </si>
  <si>
    <t>OQPSK:Viterbi:RS-CT</t>
  </si>
  <si>
    <t>16QAM:Viterbi:RS-CT</t>
  </si>
  <si>
    <t>8PSK:TCM:None</t>
  </si>
  <si>
    <t>8PSK:TCM:RS-CT</t>
  </si>
  <si>
    <t>BPSK:TPC:Advanced</t>
  </si>
  <si>
    <t>QPSK:TPC:Advanced</t>
  </si>
  <si>
    <t>OQPSK:TPC:Advanced</t>
  </si>
  <si>
    <t>8PSK:TPC:Advanced</t>
  </si>
  <si>
    <t>8QAM:TPC:Advanced</t>
  </si>
  <si>
    <t>16QAM:TPC:Advanced</t>
  </si>
  <si>
    <t>BPSK:TPC:CT</t>
  </si>
  <si>
    <t>QPSK:TPC:CT</t>
  </si>
  <si>
    <t>OQPSK:TPC:CT</t>
  </si>
  <si>
    <t>8PSK:TPC:CT</t>
  </si>
  <si>
    <t>8QAM:TPC:CT</t>
  </si>
  <si>
    <t>16QAM:TPC:CT</t>
  </si>
  <si>
    <t>1/1</t>
  </si>
  <si>
    <t>1/2</t>
  </si>
  <si>
    <t>3/4</t>
  </si>
  <si>
    <t>5/6</t>
  </si>
  <si>
    <t>7/8</t>
  </si>
  <si>
    <t>2/3</t>
  </si>
  <si>
    <t>5/16</t>
  </si>
  <si>
    <t>21/44</t>
  </si>
  <si>
    <t>0.95</t>
  </si>
  <si>
    <t>0.453-16k</t>
  </si>
  <si>
    <t>1/2-16k</t>
  </si>
  <si>
    <t>1/2-4k</t>
  </si>
  <si>
    <t>3/4-16k</t>
  </si>
  <si>
    <t>3/4-4k</t>
  </si>
  <si>
    <t>7/8-16k</t>
  </si>
  <si>
    <t>7/8-4k</t>
  </si>
  <si>
    <t>0.922-16k</t>
  </si>
  <si>
    <t>0.950-4k</t>
  </si>
  <si>
    <t>14/17</t>
  </si>
  <si>
    <t>10/11</t>
  </si>
  <si>
    <t>16/17</t>
  </si>
  <si>
    <t>BPSK:LDPC:</t>
  </si>
  <si>
    <t>QPSK:LDPC:</t>
  </si>
  <si>
    <t>OQPSK:LDPC:</t>
  </si>
  <si>
    <t>8PSK:LDPC:</t>
  </si>
  <si>
    <t>8QAM:LDPC:</t>
  </si>
  <si>
    <t>16QAM:LDPC:</t>
  </si>
  <si>
    <t>Actual Code Rate</t>
  </si>
  <si>
    <t>Spectral Efficiency</t>
  </si>
  <si>
    <t>Eb/No - 1E-8 BER</t>
  </si>
  <si>
    <t>End-to-End Delay</t>
  </si>
  <si>
    <t>Viterbi:None:1/2</t>
  </si>
  <si>
    <t>Viterbi:None:3/4</t>
  </si>
  <si>
    <t>Viterbi:None:5/6</t>
  </si>
  <si>
    <t>Viterbi:None:7/8</t>
  </si>
  <si>
    <t>Viterbi:RS-CT:1/2</t>
  </si>
  <si>
    <t>Viterbi:RS-CT:3/4</t>
  </si>
  <si>
    <t>Viterbi:RS-CT:5/6</t>
  </si>
  <si>
    <t>Viterbi:RS-CT:7/8</t>
  </si>
  <si>
    <t>TCM:None:2/3</t>
  </si>
  <si>
    <t>TCM:RS-CT:2/3</t>
  </si>
  <si>
    <t>TPC:Advanced:0.453-16k</t>
  </si>
  <si>
    <t>TPC:Advanced:1/2-16k</t>
  </si>
  <si>
    <t>TPC:Advanced:1/2-4k</t>
  </si>
  <si>
    <t>TPC:Advanced:3/4-16k</t>
  </si>
  <si>
    <t>TPC:Advanced:3/4-4k</t>
  </si>
  <si>
    <t>TPC:Advanced:7/8-16k</t>
  </si>
  <si>
    <t>TPC:Advanced:7/8-4k</t>
  </si>
  <si>
    <t>TPC:Advanced:0.922-16k</t>
  </si>
  <si>
    <t>TPC:Advanced:0.950-4k</t>
  </si>
  <si>
    <t>TPC:CT:5/16</t>
  </si>
  <si>
    <t>TPC:CT:21/44</t>
  </si>
  <si>
    <t>TPC:CT:3/4</t>
  </si>
  <si>
    <t>TPC:CT:7/8</t>
  </si>
  <si>
    <t>TPC:CT:0.95</t>
  </si>
  <si>
    <t>Data Rate =</t>
  </si>
  <si>
    <t>n/a</t>
  </si>
  <si>
    <t>No Data</t>
  </si>
  <si>
    <t>LDPC:256 Block:1/2</t>
  </si>
  <si>
    <t>LDPC:256 Block:3/4</t>
  </si>
  <si>
    <t>LDPC:256 Block:14/17</t>
  </si>
  <si>
    <t>LDPC:256 Block:2/3</t>
  </si>
  <si>
    <t>LDPC:256 Block:7/8</t>
  </si>
  <si>
    <t>LDPC:256 Block:10/11</t>
  </si>
  <si>
    <t>LDPC:256 Block:16/17</t>
  </si>
  <si>
    <t>LDPC:512 Block:1/2</t>
  </si>
  <si>
    <t>LDPC:512 Block:2/3</t>
  </si>
  <si>
    <t>LDPC:512 Block:3/4</t>
  </si>
  <si>
    <t>LDPC:512 Block:14/17</t>
  </si>
  <si>
    <t>LDPC:512 Block:7/8</t>
  </si>
  <si>
    <t>LDPC:512 Block:10/11</t>
  </si>
  <si>
    <t>LDPC:512 Block:16/17</t>
  </si>
  <si>
    <t>LDPC:1k Block:1/2</t>
  </si>
  <si>
    <t>LDPC:1k Block:2/3</t>
  </si>
  <si>
    <t>LDPC:1k Block:3/4</t>
  </si>
  <si>
    <t>LDPC:1k Block:14/17</t>
  </si>
  <si>
    <t>LDPC:1k Block:7/8</t>
  </si>
  <si>
    <t>LDPC:1k Block:10/11</t>
  </si>
  <si>
    <t>LDPC:1k Block:16/17</t>
  </si>
  <si>
    <t>LDPC:2k Block:1/2</t>
  </si>
  <si>
    <t>LDPC:2k Block:2/3</t>
  </si>
  <si>
    <t>LDPC:2k Block:3/4</t>
  </si>
  <si>
    <t>LDPC:2k Block:14/17</t>
  </si>
  <si>
    <t>LDPC:2k Block:7/8</t>
  </si>
  <si>
    <t>LDPC:2k Block:10/11</t>
  </si>
  <si>
    <t>LDPC:2k Block:16/17</t>
  </si>
  <si>
    <t>LDPC:4k Block:1/2</t>
  </si>
  <si>
    <t>LDPC:4k Block:2/3</t>
  </si>
  <si>
    <t>LDPC:4k Block:3/4</t>
  </si>
  <si>
    <t>LDPC:4k Block:14/17</t>
  </si>
  <si>
    <t>LDPC:4k Block:7/8</t>
  </si>
  <si>
    <t>LDPC:4k Block:10/11</t>
  </si>
  <si>
    <t>LDPC:4k Block:16/17</t>
  </si>
  <si>
    <t>LDPC:8k Block:1/2</t>
  </si>
  <si>
    <t>LDPC:8k Block:2/3</t>
  </si>
  <si>
    <t>LDPC:8k Block:3/4</t>
  </si>
  <si>
    <t>LDPC:8k Block:14/17</t>
  </si>
  <si>
    <t>LDPC:8k Block:7/8</t>
  </si>
  <si>
    <t>LDPC:8k Block:10/11</t>
  </si>
  <si>
    <t>LDPC:8k Block:16/17</t>
  </si>
  <si>
    <t>LDPC:16k Block:1/2</t>
  </si>
  <si>
    <t>LDPC:16k Block:2/3</t>
  </si>
  <si>
    <t>LDPC:16k Block:3/4</t>
  </si>
  <si>
    <t>LDPC:16k Block:14/17</t>
  </si>
  <si>
    <t>LDPC:16k Block:7/8</t>
  </si>
  <si>
    <t>LDPC:16k Block:10/11</t>
  </si>
  <si>
    <t>LDPC:16k Block:16/17</t>
  </si>
  <si>
    <t>None:None:1/1</t>
  </si>
  <si>
    <t>* IESS Reed-Solomon parameters change with data rate. Information provided is at &gt; 10 Mbps.</t>
  </si>
  <si>
    <t>RS-308*</t>
  </si>
  <si>
    <t>RS-309*</t>
  </si>
  <si>
    <t>RS-310*</t>
  </si>
  <si>
    <t>BPSK:Viterbi:RS-308*</t>
  </si>
  <si>
    <t>QPSK:Viterbi:RS-308*</t>
  </si>
  <si>
    <t>OQPSK:Viterbi:RS-308*</t>
  </si>
  <si>
    <t>16QAM:Viterbi:RS-308*</t>
  </si>
  <si>
    <t>BPSK:Viterbi:RS-309*</t>
  </si>
  <si>
    <t>QPSK:Viterbi:RS-309*</t>
  </si>
  <si>
    <t>OQPSK:Viterbi:RS-309*</t>
  </si>
  <si>
    <t>16QAM:Viterbi:RS-309*</t>
  </si>
  <si>
    <t>8PSK:TCM:RS-310*</t>
  </si>
  <si>
    <t>Viterbi:RS-308*:1/2</t>
  </si>
  <si>
    <t>Viterbi:RS-308*:3/4</t>
  </si>
  <si>
    <t>Viterbi:RS-308*:5/6</t>
  </si>
  <si>
    <t>Viterbi:RS-308*:7/8</t>
  </si>
  <si>
    <t>Viterbi:RS-309*:1/2</t>
  </si>
  <si>
    <t>Viterbi:RS-309*:3/4</t>
  </si>
  <si>
    <t>Viterbi:RS-309*:5/6</t>
  </si>
  <si>
    <t>Viterbi:RS-309*:7/8</t>
  </si>
  <si>
    <t>TCM:RS-310*:2/3</t>
  </si>
  <si>
    <t>Modem Round Trip Delay</t>
  </si>
  <si>
    <t>Total Data Rate</t>
  </si>
  <si>
    <t>Total Bandwidth Spectral Efficiency</t>
  </si>
  <si>
    <t>User Entries Are in Blue Text</t>
  </si>
  <si>
    <t>End-to-End delay measured at highest supported modulation mode (worst case) for each FEC mode and does NOT include satellite delay.</t>
  </si>
  <si>
    <r>
      <t xml:space="preserve">Change from A to B </t>
    </r>
    <r>
      <rPr>
        <b/>
        <sz val="11"/>
        <color theme="1"/>
        <rFont val="Calibri"/>
        <family val="2"/>
      </rPr>
      <t>→</t>
    </r>
  </si>
  <si>
    <t>End-to-End Delay @ 64.0 kbps</t>
  </si>
  <si>
    <t>Other</t>
  </si>
  <si>
    <t>BPSK:Other:Other</t>
  </si>
  <si>
    <t>QPSK:Other:Other</t>
  </si>
  <si>
    <t>OQPSK:Other:Other</t>
  </si>
  <si>
    <t>8PSK:Other:Other</t>
  </si>
  <si>
    <t>8QAM:Other:Other</t>
  </si>
  <si>
    <t>16QAM:Other:Other</t>
  </si>
  <si>
    <t xml:space="preserve">"Other" Modem (If Used)  </t>
  </si>
  <si>
    <t>Total Eb/No
1E-8 BER</t>
  </si>
  <si>
    <t>Total Used
Bandwidth</t>
  </si>
  <si>
    <t xml:space="preserve">Outbound Carrier  </t>
  </si>
  <si>
    <t xml:space="preserve">Inbound Carrier   </t>
  </si>
  <si>
    <t xml:space="preserve">Configuration A   </t>
  </si>
  <si>
    <t xml:space="preserve">Configuration B   </t>
  </si>
  <si>
    <t>Modem Total
Inbound/Outbound</t>
  </si>
  <si>
    <t xml:space="preserve">Outbound Carrier   </t>
  </si>
  <si>
    <t>Select "Other" for FEC Type to Use These Parameters</t>
  </si>
  <si>
    <t>C/No - 1E-8 BER</t>
  </si>
  <si>
    <t>C/N - 1E-8 BER</t>
  </si>
  <si>
    <t>(C+N)/N - 1E-8 BER</t>
  </si>
  <si>
    <t>C/N Total
 1E-8 BER</t>
  </si>
  <si>
    <t>C/No Total
 1E-8 BER</t>
  </si>
  <si>
    <t>M7 Mode Comparison Calculator</t>
  </si>
  <si>
    <t>Copyright (c) Datum Systems Inc. 2013</t>
  </si>
  <si>
    <t>Roll-Off</t>
  </si>
  <si>
    <t>Occupied BW</t>
  </si>
  <si>
    <t>For C/N the Noise BW N is set to the Occupied BW. The Occupied BW is equal to the carrier spacing.</t>
  </si>
</sst>
</file>

<file path=xl/styles.xml><?xml version="1.0" encoding="utf-8"?>
<styleSheet xmlns="http://schemas.openxmlformats.org/spreadsheetml/2006/main">
  <numFmts count="14">
    <numFmt numFmtId="164" formatCode="#\ ????/????"/>
    <numFmt numFmtId="165" formatCode="_(##,###.0##\ &quot;kbps&quot;_)"/>
    <numFmt numFmtId="166" formatCode="_(0.000\ &quot;bps/Hz&quot;_)"/>
    <numFmt numFmtId="167" formatCode="_(###0.0\ &quot;ms&quot;_)"/>
    <numFmt numFmtId="168" formatCode="_(##0.00\ &quot;dB&quot;_)"/>
    <numFmt numFmtId="169" formatCode="_(##0.0\ &quot;dB&quot;_)"/>
    <numFmt numFmtId="170" formatCode="\+##0.00%;\-##0.00%"/>
    <numFmt numFmtId="171" formatCode="????/????"/>
    <numFmt numFmtId="172" formatCode="0.000"/>
    <numFmt numFmtId="173" formatCode="\+#0.00\ &quot;dB&quot;;\-#0.00\ &quot;dB&quot;"/>
    <numFmt numFmtId="174" formatCode="_(##,##0.0##\ &quot;kHz&quot;_)"/>
    <numFmt numFmtId="175" formatCode="_(##,##0.0##\ &quot;kbps&quot;_)"/>
    <numFmt numFmtId="176" formatCode="0.0"/>
    <numFmt numFmtId="177" formatCode="\+###0.0\ &quot;ms&quot;;\-###0.0\ &quot;ms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/>
    <xf numFmtId="168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168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/>
    <xf numFmtId="169" fontId="0" fillId="0" borderId="0" xfId="0" applyNumberFormat="1" applyFont="1" applyFill="1" applyBorder="1" applyAlignment="1" applyProtection="1">
      <alignment horizontal="center"/>
    </xf>
    <xf numFmtId="0" fontId="0" fillId="0" borderId="0" xfId="0"/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1" fontId="2" fillId="0" borderId="15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170" fontId="4" fillId="0" borderId="8" xfId="1" applyNumberFormat="1" applyFont="1" applyBorder="1" applyAlignment="1">
      <alignment horizontal="center"/>
    </xf>
    <xf numFmtId="170" fontId="4" fillId="0" borderId="28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8" fontId="6" fillId="0" borderId="23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68" fontId="6" fillId="0" borderId="16" xfId="0" applyNumberFormat="1" applyFont="1" applyBorder="1" applyAlignment="1">
      <alignment horizontal="center"/>
    </xf>
    <xf numFmtId="170" fontId="4" fillId="0" borderId="12" xfId="1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170" fontId="4" fillId="0" borderId="20" xfId="0" applyNumberFormat="1" applyFont="1" applyBorder="1" applyAlignment="1">
      <alignment horizontal="center"/>
    </xf>
    <xf numFmtId="167" fontId="2" fillId="2" borderId="7" xfId="0" applyNumberFormat="1" applyFont="1" applyFill="1" applyBorder="1" applyAlignment="1">
      <alignment horizontal="center" wrapText="1"/>
    </xf>
    <xf numFmtId="168" fontId="2" fillId="0" borderId="15" xfId="0" applyNumberFormat="1" applyFont="1" applyBorder="1" applyAlignment="1">
      <alignment horizontal="center"/>
    </xf>
    <xf numFmtId="168" fontId="2" fillId="0" borderId="33" xfId="0" applyNumberFormat="1" applyFont="1" applyBorder="1" applyAlignment="1">
      <alignment horizontal="center"/>
    </xf>
    <xf numFmtId="170" fontId="2" fillId="2" borderId="8" xfId="1" applyNumberFormat="1" applyFont="1" applyFill="1" applyBorder="1" applyAlignment="1">
      <alignment horizontal="center" wrapText="1"/>
    </xf>
    <xf numFmtId="166" fontId="2" fillId="0" borderId="11" xfId="0" applyNumberFormat="1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center"/>
    </xf>
    <xf numFmtId="174" fontId="6" fillId="0" borderId="25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4" fontId="6" fillId="0" borderId="27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30" xfId="0" applyNumberFormat="1" applyFont="1" applyBorder="1" applyAlignment="1">
      <alignment horizontal="center"/>
    </xf>
    <xf numFmtId="176" fontId="0" fillId="0" borderId="0" xfId="0" applyNumberFormat="1"/>
    <xf numFmtId="167" fontId="6" fillId="0" borderId="13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7" fontId="2" fillId="0" borderId="31" xfId="0" applyNumberFormat="1" applyFont="1" applyBorder="1" applyAlignment="1">
      <alignment horizontal="center"/>
    </xf>
    <xf numFmtId="177" fontId="4" fillId="0" borderId="32" xfId="0" applyNumberFormat="1" applyFont="1" applyBorder="1" applyAlignment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3" fillId="0" borderId="19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170" fontId="4" fillId="0" borderId="0" xfId="1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3" borderId="40" xfId="0" applyFont="1" applyFill="1" applyBorder="1" applyAlignment="1">
      <alignment horizontal="right"/>
    </xf>
    <xf numFmtId="165" fontId="3" fillId="3" borderId="41" xfId="0" applyNumberFormat="1" applyFont="1" applyFill="1" applyBorder="1" applyAlignment="1">
      <alignment horizontal="left"/>
    </xf>
    <xf numFmtId="0" fontId="2" fillId="3" borderId="35" xfId="0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left"/>
    </xf>
    <xf numFmtId="0" fontId="2" fillId="3" borderId="44" xfId="0" applyFont="1" applyFill="1" applyBorder="1" applyAlignment="1">
      <alignment horizontal="right"/>
    </xf>
    <xf numFmtId="165" fontId="3" fillId="3" borderId="45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wrapText="1"/>
    </xf>
    <xf numFmtId="175" fontId="3" fillId="0" borderId="0" xfId="0" applyNumberFormat="1" applyFont="1" applyBorder="1" applyAlignment="1" applyProtection="1">
      <alignment horizontal="left"/>
    </xf>
    <xf numFmtId="170" fontId="2" fillId="2" borderId="9" xfId="0" applyNumberFormat="1" applyFont="1" applyFill="1" applyBorder="1" applyAlignment="1">
      <alignment horizontal="center" wrapText="1"/>
    </xf>
    <xf numFmtId="0" fontId="9" fillId="0" borderId="0" xfId="0" applyFont="1"/>
    <xf numFmtId="14" fontId="0" fillId="0" borderId="0" xfId="0" applyNumberFormat="1" applyFont="1"/>
    <xf numFmtId="0" fontId="3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0" fillId="0" borderId="0" xfId="0" applyFont="1" applyAlignment="1"/>
    <xf numFmtId="0" fontId="3" fillId="2" borderId="12" xfId="0" applyFont="1" applyFill="1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3" fillId="0" borderId="0" xfId="0" applyFont="1" applyAlignment="1">
      <alignment horizontal="center"/>
    </xf>
    <xf numFmtId="0" fontId="2" fillId="3" borderId="41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45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right"/>
    </xf>
    <xf numFmtId="2" fontId="3" fillId="3" borderId="49" xfId="0" applyNumberFormat="1" applyFont="1" applyFill="1" applyBorder="1" applyAlignment="1">
      <alignment horizontal="center"/>
    </xf>
    <xf numFmtId="2" fontId="3" fillId="3" borderId="48" xfId="0" applyNumberFormat="1" applyFont="1" applyFill="1" applyBorder="1" applyAlignment="1">
      <alignment horizontal="center"/>
    </xf>
    <xf numFmtId="2" fontId="3" fillId="4" borderId="52" xfId="0" applyNumberFormat="1" applyFont="1" applyFill="1" applyBorder="1" applyAlignment="1" applyProtection="1">
      <alignment horizontal="center"/>
      <protection locked="0"/>
    </xf>
    <xf numFmtId="2" fontId="3" fillId="4" borderId="5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5" fontId="3" fillId="0" borderId="21" xfId="0" applyNumberFormat="1" applyFont="1" applyBorder="1" applyAlignment="1" applyProtection="1">
      <alignment horizontal="left"/>
      <protection locked="0"/>
    </xf>
    <xf numFmtId="175" fontId="3" fillId="0" borderId="7" xfId="0" applyNumberFormat="1" applyFont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175" fontId="2" fillId="0" borderId="48" xfId="1" applyNumberFormat="1" applyFont="1" applyBorder="1" applyAlignment="1">
      <alignment horizontal="center" vertical="center"/>
    </xf>
    <xf numFmtId="175" fontId="2" fillId="0" borderId="49" xfId="1" applyNumberFormat="1" applyFont="1" applyBorder="1" applyAlignment="1">
      <alignment horizontal="center" vertical="center"/>
    </xf>
    <xf numFmtId="175" fontId="6" fillId="2" borderId="21" xfId="0" applyNumberFormat="1" applyFont="1" applyFill="1" applyBorder="1" applyAlignment="1" applyProtection="1">
      <alignment horizontal="center"/>
    </xf>
    <xf numFmtId="172" fontId="3" fillId="0" borderId="17" xfId="0" applyNumberFormat="1" applyFont="1" applyBorder="1" applyAlignment="1" applyProtection="1">
      <alignment horizontal="center"/>
      <protection locked="0"/>
    </xf>
    <xf numFmtId="172" fontId="3" fillId="0" borderId="36" xfId="0" applyNumberFormat="1" applyFont="1" applyBorder="1" applyAlignment="1" applyProtection="1">
      <alignment horizontal="center"/>
      <protection locked="0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168" fontId="3" fillId="0" borderId="54" xfId="0" applyNumberFormat="1" applyFont="1" applyFill="1" applyBorder="1" applyAlignment="1" applyProtection="1">
      <alignment horizontal="center"/>
      <protection locked="0"/>
    </xf>
    <xf numFmtId="168" fontId="3" fillId="0" borderId="55" xfId="0" applyNumberFormat="1" applyFont="1" applyFill="1" applyBorder="1" applyAlignment="1" applyProtection="1">
      <alignment horizontal="center"/>
      <protection locked="0"/>
    </xf>
    <xf numFmtId="168" fontId="3" fillId="0" borderId="38" xfId="0" applyNumberFormat="1" applyFont="1" applyFill="1" applyBorder="1" applyAlignment="1" applyProtection="1">
      <alignment horizontal="center"/>
      <protection locked="0"/>
    </xf>
    <xf numFmtId="168" fontId="3" fillId="0" borderId="39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3" fillId="0" borderId="17" xfId="0" applyNumberFormat="1" applyFont="1" applyFill="1" applyBorder="1" applyAlignment="1" applyProtection="1">
      <alignment horizontal="center"/>
      <protection locked="0"/>
    </xf>
    <xf numFmtId="167" fontId="3" fillId="0" borderId="13" xfId="0" applyNumberFormat="1" applyFont="1" applyFill="1" applyBorder="1" applyAlignment="1" applyProtection="1">
      <alignment horizontal="center"/>
      <protection locked="0"/>
    </xf>
    <xf numFmtId="167" fontId="3" fillId="0" borderId="36" xfId="0" applyNumberFormat="1" applyFont="1" applyFill="1" applyBorder="1" applyAlignment="1" applyProtection="1">
      <alignment horizontal="center"/>
      <protection locked="0"/>
    </xf>
    <xf numFmtId="167" fontId="3" fillId="0" borderId="32" xfId="0" applyNumberFormat="1" applyFont="1" applyFill="1" applyBorder="1" applyAlignment="1" applyProtection="1">
      <alignment horizontal="center"/>
      <protection locked="0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170" fontId="2" fillId="2" borderId="44" xfId="1" applyNumberFormat="1" applyFont="1" applyFill="1" applyBorder="1" applyAlignment="1">
      <alignment horizontal="right"/>
    </xf>
    <xf numFmtId="170" fontId="2" fillId="2" borderId="45" xfId="1" applyNumberFormat="1" applyFont="1" applyFill="1" applyBorder="1" applyAlignment="1">
      <alignment horizontal="right"/>
    </xf>
    <xf numFmtId="170" fontId="2" fillId="2" borderId="47" xfId="1" applyNumberFormat="1" applyFont="1" applyFill="1" applyBorder="1" applyAlignment="1">
      <alignment horizontal="right"/>
    </xf>
    <xf numFmtId="170" fontId="4" fillId="2" borderId="6" xfId="1" applyNumberFormat="1" applyFont="1" applyFill="1" applyBorder="1" applyAlignment="1">
      <alignment horizontal="center" wrapText="1"/>
    </xf>
    <xf numFmtId="170" fontId="4" fillId="2" borderId="7" xfId="1" applyNumberFormat="1" applyFont="1" applyFill="1" applyBorder="1" applyAlignment="1">
      <alignment horizontal="center" wrapText="1"/>
    </xf>
    <xf numFmtId="170" fontId="2" fillId="2" borderId="35" xfId="1" applyNumberFormat="1" applyFont="1" applyFill="1" applyBorder="1" applyAlignment="1">
      <alignment horizontal="right"/>
    </xf>
    <xf numFmtId="170" fontId="2" fillId="2" borderId="43" xfId="1" applyNumberFormat="1" applyFont="1" applyFill="1" applyBorder="1" applyAlignment="1">
      <alignment horizontal="right"/>
    </xf>
    <xf numFmtId="170" fontId="2" fillId="2" borderId="46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P37"/>
  <sheetViews>
    <sheetView showGridLines="0" tabSelected="1" workbookViewId="0">
      <selection activeCell="G16" sqref="G16"/>
    </sheetView>
  </sheetViews>
  <sheetFormatPr defaultRowHeight="15"/>
  <cols>
    <col min="2" max="2" width="24" customWidth="1"/>
    <col min="3" max="3" width="8.28515625" style="53" customWidth="1"/>
    <col min="4" max="4" width="11.7109375" customWidth="1"/>
    <col min="5" max="5" width="9.42578125" customWidth="1"/>
    <col min="6" max="6" width="11" customWidth="1"/>
    <col min="7" max="7" width="13.7109375" customWidth="1"/>
    <col min="8" max="8" width="16.28515625" customWidth="1"/>
    <col min="9" max="9" width="17.140625" customWidth="1"/>
    <col min="10" max="10" width="14.28515625" customWidth="1"/>
    <col min="11" max="11" width="18" style="53" customWidth="1"/>
    <col min="12" max="12" width="16.28515625" customWidth="1"/>
    <col min="13" max="13" width="16.42578125" customWidth="1"/>
  </cols>
  <sheetData>
    <row r="2" spans="2:13" ht="21">
      <c r="B2" s="114" t="s">
        <v>213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13">
      <c r="B3" s="115" t="s">
        <v>187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2:13" s="22" customFormat="1" ht="7.15" customHeight="1" thickBot="1">
      <c r="B4" s="24"/>
      <c r="C4" s="99"/>
      <c r="D4" s="24"/>
      <c r="E4" s="24"/>
      <c r="F4" s="24"/>
      <c r="G4" s="24"/>
      <c r="H4" s="24"/>
      <c r="I4" s="24"/>
      <c r="J4" s="24"/>
      <c r="K4" s="90"/>
      <c r="L4" s="24"/>
      <c r="M4" s="24"/>
    </row>
    <row r="5" spans="2:13" s="53" customFormat="1" ht="14.45" customHeight="1" thickBot="1">
      <c r="B5" s="30" t="s">
        <v>198</v>
      </c>
      <c r="C5" s="104"/>
      <c r="D5" s="122" t="s">
        <v>81</v>
      </c>
      <c r="E5" s="122"/>
      <c r="F5" s="125" t="s">
        <v>83</v>
      </c>
      <c r="G5" s="126"/>
      <c r="H5" s="131" t="s">
        <v>190</v>
      </c>
      <c r="I5" s="132"/>
      <c r="J5" s="137" t="s">
        <v>207</v>
      </c>
      <c r="K5" s="138"/>
      <c r="L5" s="138"/>
      <c r="M5" s="139"/>
    </row>
    <row r="6" spans="2:13" s="53" customFormat="1" ht="14.45" customHeight="1">
      <c r="B6" s="105" t="s">
        <v>206</v>
      </c>
      <c r="C6" s="107"/>
      <c r="D6" s="123">
        <v>0.75</v>
      </c>
      <c r="E6" s="123"/>
      <c r="F6" s="127">
        <v>7.5</v>
      </c>
      <c r="G6" s="128"/>
      <c r="H6" s="133">
        <v>70</v>
      </c>
      <c r="I6" s="134"/>
      <c r="J6" s="140"/>
      <c r="K6" s="141"/>
      <c r="L6" s="141"/>
      <c r="M6" s="142"/>
    </row>
    <row r="7" spans="2:13" s="53" customFormat="1" ht="14.45" customHeight="1" thickBot="1">
      <c r="B7" s="29" t="s">
        <v>202</v>
      </c>
      <c r="C7" s="106"/>
      <c r="D7" s="124">
        <v>0.75</v>
      </c>
      <c r="E7" s="124"/>
      <c r="F7" s="129">
        <v>6.8</v>
      </c>
      <c r="G7" s="130"/>
      <c r="H7" s="135">
        <v>70</v>
      </c>
      <c r="I7" s="136"/>
      <c r="J7" s="143"/>
      <c r="K7" s="144"/>
      <c r="L7" s="144"/>
      <c r="M7" s="145"/>
    </row>
    <row r="8" spans="2:13" s="53" customFormat="1" ht="14.45" customHeight="1" thickBot="1">
      <c r="B8" s="25"/>
      <c r="C8" s="99"/>
      <c r="D8" s="25"/>
      <c r="E8" s="25"/>
      <c r="F8" s="25"/>
      <c r="G8" s="25"/>
      <c r="H8" s="25"/>
      <c r="I8" s="25"/>
      <c r="J8" s="25"/>
      <c r="K8" s="90"/>
      <c r="L8" s="25"/>
      <c r="M8" s="25"/>
    </row>
    <row r="9" spans="2:13" ht="15.75" thickBot="1">
      <c r="B9" s="30" t="s">
        <v>201</v>
      </c>
      <c r="C9" s="104" t="s">
        <v>215</v>
      </c>
      <c r="D9" s="103" t="s">
        <v>11</v>
      </c>
      <c r="E9" s="15" t="s">
        <v>23</v>
      </c>
      <c r="F9" s="16" t="s">
        <v>24</v>
      </c>
      <c r="G9" s="17" t="s">
        <v>25</v>
      </c>
      <c r="H9" s="18" t="s">
        <v>81</v>
      </c>
      <c r="I9" s="26" t="s">
        <v>82</v>
      </c>
      <c r="J9" s="26" t="s">
        <v>216</v>
      </c>
      <c r="K9" s="97" t="s">
        <v>209</v>
      </c>
      <c r="L9" s="18" t="s">
        <v>83</v>
      </c>
      <c r="M9" s="19" t="s">
        <v>84</v>
      </c>
    </row>
    <row r="10" spans="2:13">
      <c r="B10" s="28" t="s">
        <v>203</v>
      </c>
      <c r="C10" s="108">
        <v>1.08</v>
      </c>
      <c r="D10" s="66" t="s">
        <v>5</v>
      </c>
      <c r="E10" s="67" t="s">
        <v>10</v>
      </c>
      <c r="F10" s="68" t="s">
        <v>22</v>
      </c>
      <c r="G10" s="69" t="s">
        <v>56</v>
      </c>
      <c r="H10" s="20">
        <f>IF(FecTypeA="Other",D6,ActualRateA)</f>
        <v>0.75004577916132575</v>
      </c>
      <c r="I10" s="34">
        <f>IF(FecTypeA="Other",ModBitsA*D6,BitsPerHzA)/OccupiedBwAScale</f>
        <v>2.777947330227132</v>
      </c>
      <c r="J10" s="51">
        <f>D12/I10</f>
        <v>737.23500000000013</v>
      </c>
      <c r="K10" s="91">
        <f>CarrierPwrA</f>
        <v>10.307240072732426</v>
      </c>
      <c r="L10" s="35">
        <f>IF(FecTypeA="Other",F6,EbNoA)</f>
        <v>5.87</v>
      </c>
      <c r="M10" s="60">
        <f>IF(FecTypeA="Other",MAX(64*H6/D12,0.05),DelayA)</f>
        <v>13.8</v>
      </c>
    </row>
    <row r="11" spans="2:13" ht="15.75" thickBot="1">
      <c r="B11" s="29" t="s">
        <v>204</v>
      </c>
      <c r="C11" s="109">
        <v>1.05</v>
      </c>
      <c r="D11" s="70" t="s">
        <v>5</v>
      </c>
      <c r="E11" s="71" t="s">
        <v>10</v>
      </c>
      <c r="F11" s="72" t="s">
        <v>22</v>
      </c>
      <c r="G11" s="73" t="s">
        <v>56</v>
      </c>
      <c r="H11" s="21">
        <f>IF(FecTypeB="Other",D6,ActualRateB)</f>
        <v>0.75004577916132575</v>
      </c>
      <c r="I11" s="36">
        <f>IF(FecTypeB="Other",ModBitsB*D6,BitsPerHzB)/OccupiedBwBScale</f>
        <v>2.8573172539479077</v>
      </c>
      <c r="J11" s="56">
        <f>D12/I11</f>
        <v>716.75625000000002</v>
      </c>
      <c r="K11" s="37">
        <f>CarrierPwrB</f>
        <v>10.429584636902547</v>
      </c>
      <c r="L11" s="37">
        <f>IF(FecTypeB="Other",F6,EbNoB)</f>
        <v>5.87</v>
      </c>
      <c r="M11" s="61">
        <f>IF(FecTypeB="Other",MAX(64*H6/D12,0.05),DelayB)</f>
        <v>13.8</v>
      </c>
    </row>
    <row r="12" spans="2:13" ht="15.75" thickBot="1">
      <c r="B12" s="110" t="s">
        <v>109</v>
      </c>
      <c r="C12" s="111"/>
      <c r="D12" s="116">
        <v>2048</v>
      </c>
      <c r="E12" s="117"/>
      <c r="F12" s="118" t="s">
        <v>189</v>
      </c>
      <c r="G12" s="119"/>
      <c r="H12" s="38">
        <f>+(H11-H10)/H10</f>
        <v>0</v>
      </c>
      <c r="I12" s="31">
        <f>+(I11-I10)/I10</f>
        <v>2.8571428571428741E-2</v>
      </c>
      <c r="J12" s="32">
        <f>+(J11-J10)/J10</f>
        <v>-2.7777777777777915E-2</v>
      </c>
      <c r="K12" s="33">
        <f>+K11-K10</f>
        <v>0.12234456417012041</v>
      </c>
      <c r="L12" s="33">
        <f>+L11-L10</f>
        <v>0</v>
      </c>
      <c r="M12" s="62">
        <f>+M11-M10</f>
        <v>0</v>
      </c>
    </row>
    <row r="13" spans="2:13" ht="15.75" thickBot="1"/>
    <row r="14" spans="2:13" ht="15.75" thickBot="1">
      <c r="B14" s="30" t="s">
        <v>202</v>
      </c>
      <c r="C14" s="104" t="s">
        <v>215</v>
      </c>
      <c r="D14" s="103" t="s">
        <v>11</v>
      </c>
      <c r="E14" s="15" t="s">
        <v>23</v>
      </c>
      <c r="F14" s="16" t="s">
        <v>24</v>
      </c>
      <c r="G14" s="17" t="s">
        <v>25</v>
      </c>
      <c r="H14" s="18" t="s">
        <v>81</v>
      </c>
      <c r="I14" s="26" t="s">
        <v>82</v>
      </c>
      <c r="J14" s="26" t="s">
        <v>216</v>
      </c>
      <c r="K14" s="97" t="s">
        <v>209</v>
      </c>
      <c r="L14" s="18" t="s">
        <v>83</v>
      </c>
      <c r="M14" s="19" t="s">
        <v>84</v>
      </c>
    </row>
    <row r="15" spans="2:13">
      <c r="B15" s="28" t="s">
        <v>203</v>
      </c>
      <c r="C15" s="108">
        <v>1.08</v>
      </c>
      <c r="D15" s="66" t="s">
        <v>5</v>
      </c>
      <c r="E15" s="67" t="s">
        <v>10</v>
      </c>
      <c r="F15" s="68" t="s">
        <v>22</v>
      </c>
      <c r="G15" s="69" t="s">
        <v>72</v>
      </c>
      <c r="H15" s="20">
        <f>IF(FecTypeC="Other",D7,ActualRateC)</f>
        <v>0.82364769756686107</v>
      </c>
      <c r="I15" s="34">
        <f>IF(FecTypeC="Other",ModBitsC*D7,BitsPerHzC)/OccupiedBwCScale</f>
        <v>3.0505470280254112</v>
      </c>
      <c r="J15" s="51">
        <f>D17/I15</f>
        <v>671.35500000000002</v>
      </c>
      <c r="K15" s="91">
        <f>CarrierPwrC</f>
        <v>11.523777245765615</v>
      </c>
      <c r="L15" s="35">
        <f>IF(FecTypeC="Other",F7,EbNoC)</f>
        <v>6.68</v>
      </c>
      <c r="M15" s="60">
        <f>IF(FecTypeC="Other",MAX(64*H7/D17,0.05),DelayC)</f>
        <v>13.2</v>
      </c>
    </row>
    <row r="16" spans="2:13" ht="15.75" thickBot="1">
      <c r="B16" s="29" t="s">
        <v>204</v>
      </c>
      <c r="C16" s="109">
        <v>1.05</v>
      </c>
      <c r="D16" s="70" t="s">
        <v>5</v>
      </c>
      <c r="E16" s="71" t="s">
        <v>10</v>
      </c>
      <c r="F16" s="72" t="s">
        <v>22</v>
      </c>
      <c r="G16" s="73" t="s">
        <v>72</v>
      </c>
      <c r="H16" s="21">
        <f>IF(FecTypeD="Other",D7,ActualRateD)</f>
        <v>0.82364769756686107</v>
      </c>
      <c r="I16" s="36">
        <f>IF(FecTypeD="Other",ModBitsD*D7,BitsPerHzD)/OccupiedBwDScale</f>
        <v>3.1377055145404231</v>
      </c>
      <c r="J16" s="56">
        <f>D17/I16</f>
        <v>652.70624999999995</v>
      </c>
      <c r="K16" s="37">
        <f>CarrierPwrD</f>
        <v>11.646121809935735</v>
      </c>
      <c r="L16" s="37">
        <f>IF(FecTypeD="Other",F7,EbNoD)</f>
        <v>6.68</v>
      </c>
      <c r="M16" s="61">
        <f>IF(FecTypeD="Other",MAX(64*H7/D17,0.05),DelayD)</f>
        <v>13.2</v>
      </c>
    </row>
    <row r="17" spans="2:16" ht="15.75" thickBot="1">
      <c r="B17" s="110" t="s">
        <v>109</v>
      </c>
      <c r="C17" s="111"/>
      <c r="D17" s="116">
        <v>2048</v>
      </c>
      <c r="E17" s="117"/>
      <c r="F17" s="118" t="s">
        <v>189</v>
      </c>
      <c r="G17" s="119"/>
      <c r="H17" s="38">
        <f>+(H16-H15)/H15</f>
        <v>0</v>
      </c>
      <c r="I17" s="31">
        <f>+(I16-I15)/I15</f>
        <v>2.8571428571428623E-2</v>
      </c>
      <c r="J17" s="32">
        <f>+(J16-J15)/J15</f>
        <v>-2.7777777777777873E-2</v>
      </c>
      <c r="K17" s="33">
        <f>+K16-K15</f>
        <v>0.12234456417012041</v>
      </c>
      <c r="L17" s="33">
        <f>+L16-L15</f>
        <v>0</v>
      </c>
      <c r="M17" s="62">
        <f>+M16-M15</f>
        <v>0</v>
      </c>
    </row>
    <row r="18" spans="2:16" s="53" customFormat="1" ht="15.75" thickBot="1">
      <c r="B18" s="27"/>
      <c r="C18" s="27"/>
      <c r="D18" s="86"/>
      <c r="E18" s="86"/>
      <c r="F18" s="78"/>
      <c r="G18" s="78"/>
      <c r="H18" s="74"/>
      <c r="I18" s="74"/>
      <c r="J18" s="75"/>
      <c r="K18" s="75"/>
      <c r="L18" s="76"/>
      <c r="M18" s="77"/>
    </row>
    <row r="19" spans="2:16" s="22" customFormat="1" ht="29.45" customHeight="1" thickBot="1">
      <c r="B19" s="79"/>
      <c r="C19" s="100"/>
      <c r="D19" s="80"/>
      <c r="E19" s="80"/>
      <c r="F19" s="149" t="s">
        <v>205</v>
      </c>
      <c r="G19" s="150"/>
      <c r="H19" s="14" t="s">
        <v>185</v>
      </c>
      <c r="I19" s="44" t="s">
        <v>186</v>
      </c>
      <c r="J19" s="87" t="s">
        <v>200</v>
      </c>
      <c r="K19" s="94" t="s">
        <v>211</v>
      </c>
      <c r="L19" s="85" t="s">
        <v>199</v>
      </c>
      <c r="M19" s="41" t="s">
        <v>184</v>
      </c>
    </row>
    <row r="20" spans="2:16" s="22" customFormat="1">
      <c r="B20" s="81"/>
      <c r="C20" s="101"/>
      <c r="D20" s="82"/>
      <c r="E20" s="82"/>
      <c r="F20" s="151" t="s">
        <v>203</v>
      </c>
      <c r="G20" s="152"/>
      <c r="H20" s="120">
        <f>+D12+D17</f>
        <v>4096</v>
      </c>
      <c r="I20" s="45">
        <f>+H20/J20</f>
        <v>2.9078724114185106</v>
      </c>
      <c r="J20" s="57">
        <f>+J10+J15</f>
        <v>1408.5900000000001</v>
      </c>
      <c r="K20" s="42">
        <f>CarrierPwrATotal</f>
        <v>10.929610239464441</v>
      </c>
      <c r="L20" s="42">
        <f>10*LOG10((D12*10^(L10/10)+D17*10^(L15/10))/(D12+D17))</f>
        <v>6.2938567686003202</v>
      </c>
      <c r="M20" s="63">
        <f>+M10+M15</f>
        <v>27</v>
      </c>
    </row>
    <row r="21" spans="2:16" s="22" customFormat="1" ht="15.75" thickBot="1">
      <c r="B21" s="81"/>
      <c r="C21" s="101"/>
      <c r="D21" s="82"/>
      <c r="E21" s="82"/>
      <c r="F21" s="146" t="s">
        <v>204</v>
      </c>
      <c r="G21" s="153"/>
      <c r="H21" s="121"/>
      <c r="I21" s="46">
        <f>+H20/J21</f>
        <v>2.9909544803161823</v>
      </c>
      <c r="J21" s="58">
        <f>+J11+J16</f>
        <v>1369.4625000000001</v>
      </c>
      <c r="K21" s="43">
        <f>CarrierPwrBTotal</f>
        <v>11.051954803634558</v>
      </c>
      <c r="L21" s="43">
        <f>10*LOG10((D12*10^(L11/10)+D17*10^(L16/10))/(D12+D17))</f>
        <v>6.2938567686003202</v>
      </c>
      <c r="M21" s="64">
        <f>+M11+M16</f>
        <v>27</v>
      </c>
    </row>
    <row r="22" spans="2:16" s="22" customFormat="1" ht="15.75" thickBot="1">
      <c r="B22" s="83"/>
      <c r="C22" s="102"/>
      <c r="D22" s="84"/>
      <c r="E22" s="84"/>
      <c r="F22" s="146" t="s">
        <v>189</v>
      </c>
      <c r="G22" s="147"/>
      <c r="H22" s="148"/>
      <c r="I22" s="47">
        <f>+(I21-I20)/I20</f>
        <v>2.857142857142855E-2</v>
      </c>
      <c r="J22" s="40">
        <f>+(J21-J20)/J20</f>
        <v>-2.7777777777777814E-2</v>
      </c>
      <c r="K22" s="48">
        <f>+K21-K20</f>
        <v>0.12234456417011685</v>
      </c>
      <c r="L22" s="48">
        <f>+L21-L20</f>
        <v>0</v>
      </c>
      <c r="M22" s="65">
        <f>+M21-M20</f>
        <v>0</v>
      </c>
    </row>
    <row r="24" spans="2:16">
      <c r="B24" s="23" t="s">
        <v>162</v>
      </c>
      <c r="C24" s="23"/>
    </row>
    <row r="25" spans="2:16">
      <c r="B25" s="23" t="s">
        <v>188</v>
      </c>
      <c r="C25" s="23"/>
      <c r="J25" s="96"/>
      <c r="K25" s="112" t="s">
        <v>214</v>
      </c>
      <c r="L25" s="113"/>
      <c r="M25" s="113"/>
      <c r="N25" s="96"/>
      <c r="O25" s="96"/>
      <c r="P25" s="96"/>
    </row>
    <row r="26" spans="2:16">
      <c r="B26" s="95" t="s">
        <v>217</v>
      </c>
      <c r="C26" s="95"/>
      <c r="E26" s="1"/>
      <c r="J26" s="1"/>
      <c r="K26" s="1"/>
      <c r="L26" s="1"/>
      <c r="M26" s="89">
        <v>41428</v>
      </c>
      <c r="N26" s="53"/>
      <c r="O26" s="88"/>
    </row>
    <row r="27" spans="2:16">
      <c r="E27" s="1"/>
      <c r="J27" s="1"/>
      <c r="K27" s="1"/>
      <c r="L27" s="1"/>
    </row>
    <row r="28" spans="2:16">
      <c r="E28" s="1"/>
      <c r="J28" s="1"/>
      <c r="K28" s="1"/>
      <c r="L28" s="1"/>
    </row>
    <row r="29" spans="2:16">
      <c r="E29" s="1"/>
      <c r="J29" s="1"/>
      <c r="K29" s="1"/>
      <c r="L29" s="1"/>
    </row>
    <row r="30" spans="2:16">
      <c r="E30" s="1"/>
      <c r="I30" s="1"/>
      <c r="J30" s="1"/>
      <c r="K30" s="1"/>
      <c r="L30" s="1"/>
    </row>
    <row r="31" spans="2:16">
      <c r="E31" s="1"/>
      <c r="J31" s="1"/>
      <c r="K31" s="1"/>
      <c r="L31" s="1"/>
    </row>
    <row r="33" spans="6:14">
      <c r="F33" s="39"/>
      <c r="G33" s="1"/>
      <c r="H33" s="1"/>
      <c r="I33" s="1"/>
      <c r="J33" s="1"/>
      <c r="K33" s="1"/>
      <c r="L33" s="1"/>
      <c r="M33" s="1"/>
      <c r="N33" s="1"/>
    </row>
    <row r="34" spans="6:14">
      <c r="F34" s="1"/>
      <c r="G34" s="1"/>
      <c r="H34" s="1"/>
      <c r="I34" s="1"/>
      <c r="J34" s="1"/>
      <c r="K34" s="1"/>
      <c r="L34" s="1"/>
      <c r="M34" s="1"/>
      <c r="N34" s="1"/>
    </row>
    <row r="35" spans="6:14">
      <c r="F35" s="1"/>
      <c r="G35" s="1"/>
      <c r="H35" s="1"/>
      <c r="I35" s="98"/>
      <c r="J35" s="1"/>
      <c r="K35" s="1"/>
      <c r="L35" s="1"/>
      <c r="M35" s="1"/>
      <c r="N35" s="1"/>
    </row>
    <row r="36" spans="6:14">
      <c r="F36" s="1"/>
      <c r="G36" s="1"/>
      <c r="H36" s="1"/>
      <c r="I36" s="1"/>
      <c r="J36" s="1"/>
      <c r="K36" s="1"/>
      <c r="L36" s="1"/>
      <c r="M36" s="1"/>
      <c r="N36" s="1"/>
    </row>
    <row r="37" spans="6:14">
      <c r="F37" s="1"/>
      <c r="G37" s="1"/>
      <c r="H37" s="1"/>
      <c r="I37" s="1"/>
      <c r="J37" s="1"/>
      <c r="K37" s="1"/>
      <c r="L37" s="1"/>
      <c r="M37" s="1"/>
      <c r="N37" s="1"/>
    </row>
  </sheetData>
  <sheetProtection password="FD5F" sheet="1" objects="1" scenarios="1" selectLockedCells="1"/>
  <mergeCells count="24">
    <mergeCell ref="H7:I7"/>
    <mergeCell ref="J5:M7"/>
    <mergeCell ref="F22:H22"/>
    <mergeCell ref="D12:E12"/>
    <mergeCell ref="F12:G12"/>
    <mergeCell ref="F19:G19"/>
    <mergeCell ref="F20:G20"/>
    <mergeCell ref="F21:G21"/>
    <mergeCell ref="B17:C17"/>
    <mergeCell ref="B12:C12"/>
    <mergeCell ref="K25:M25"/>
    <mergeCell ref="B2:M2"/>
    <mergeCell ref="B3:M3"/>
    <mergeCell ref="D17:E17"/>
    <mergeCell ref="F17:G17"/>
    <mergeCell ref="H20:H21"/>
    <mergeCell ref="D5:E5"/>
    <mergeCell ref="D6:E6"/>
    <mergeCell ref="D7:E7"/>
    <mergeCell ref="F5:G5"/>
    <mergeCell ref="F6:G6"/>
    <mergeCell ref="F7:G7"/>
    <mergeCell ref="H5:I5"/>
    <mergeCell ref="H6:I6"/>
  </mergeCells>
  <conditionalFormatting sqref="F10">
    <cfRule type="expression" dxfId="5" priority="8">
      <formula>$E$10="Other"</formula>
    </cfRule>
    <cfRule type="expression" dxfId="4" priority="9">
      <formula>"Other=$D$10"</formula>
    </cfRule>
  </conditionalFormatting>
  <conditionalFormatting sqref="G10">
    <cfRule type="expression" dxfId="3" priority="7">
      <formula>$E$10="Other"</formula>
    </cfRule>
  </conditionalFormatting>
  <conditionalFormatting sqref="F11:G11">
    <cfRule type="expression" dxfId="2" priority="6">
      <formula>$E$11="Other"</formula>
    </cfRule>
  </conditionalFormatting>
  <conditionalFormatting sqref="F15:G15">
    <cfRule type="expression" dxfId="1" priority="4">
      <formula>$E$15="Other"</formula>
    </cfRule>
  </conditionalFormatting>
  <conditionalFormatting sqref="F16:G16">
    <cfRule type="expression" dxfId="0" priority="2">
      <formula>$E$16="Other"</formula>
    </cfRule>
  </conditionalFormatting>
  <dataValidations count="17">
    <dataValidation type="decimal" allowBlank="1" showInputMessage="1" showErrorMessage="1" sqref="D6:E7 D17:E18 D12:E12">
      <formula1>0.1</formula1>
      <formula2>29520</formula2>
    </dataValidation>
    <dataValidation type="list" allowBlank="1" showInputMessage="1" showErrorMessage="1" sqref="D10:D11 D15:D16">
      <formula1>ModulationList</formula1>
    </dataValidation>
    <dataValidation type="list" allowBlank="1" showInputMessage="1" showErrorMessage="1" sqref="E10">
      <formula1>FecTypeAList</formula1>
    </dataValidation>
    <dataValidation type="list" allowBlank="1" showInputMessage="1" showErrorMessage="1" sqref="E11">
      <formula1>FecTypeBList</formula1>
    </dataValidation>
    <dataValidation type="list" allowBlank="1" showInputMessage="1" showErrorMessage="1" sqref="F10">
      <formula1>FecOptionAList</formula1>
    </dataValidation>
    <dataValidation type="list" allowBlank="1" showInputMessage="1" showErrorMessage="1" sqref="F11">
      <formula1>FecOptionBList</formula1>
    </dataValidation>
    <dataValidation type="list" allowBlank="1" showInputMessage="1" showErrorMessage="1" sqref="G10">
      <formula1>FecRateAList</formula1>
    </dataValidation>
    <dataValidation type="list" allowBlank="1" showInputMessage="1" showErrorMessage="1" sqref="G11">
      <formula1>FecRateBList</formula1>
    </dataValidation>
    <dataValidation type="list" allowBlank="1" showInputMessage="1" showErrorMessage="1" sqref="E15">
      <formula1>FecTypeCList</formula1>
    </dataValidation>
    <dataValidation type="list" allowBlank="1" showInputMessage="1" showErrorMessage="1" sqref="E16">
      <formula1>FecTypeDList</formula1>
    </dataValidation>
    <dataValidation type="list" allowBlank="1" showInputMessage="1" showErrorMessage="1" sqref="F15">
      <formula1>FecOptionCList</formula1>
    </dataValidation>
    <dataValidation type="list" allowBlank="1" showInputMessage="1" showErrorMessage="1" sqref="F16">
      <formula1>FecOptionDList</formula1>
    </dataValidation>
    <dataValidation type="list" allowBlank="1" showInputMessage="1" showErrorMessage="1" sqref="G15">
      <formula1>FecRateCList</formula1>
    </dataValidation>
    <dataValidation type="list" allowBlank="1" showInputMessage="1" showErrorMessage="1" sqref="G16">
      <formula1>FecRateDList</formula1>
    </dataValidation>
    <dataValidation type="list" allowBlank="1" showInputMessage="1" showErrorMessage="1" sqref="K9 K14">
      <formula1>CarrierPwrList</formula1>
    </dataValidation>
    <dataValidation type="list" allowBlank="1" showInputMessage="1" showErrorMessage="1" sqref="K19">
      <formula1>CarrierTotalPwrList</formula1>
    </dataValidation>
    <dataValidation type="decimal" allowBlank="1" showInputMessage="1" showErrorMessage="1" sqref="C10">
      <formula1>1</formula1>
      <formula2>2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AB170"/>
  <sheetViews>
    <sheetView workbookViewId="0"/>
  </sheetViews>
  <sheetFormatPr defaultRowHeight="15"/>
  <cols>
    <col min="2" max="2" width="21" customWidth="1"/>
    <col min="3" max="4" width="10.28515625" customWidth="1"/>
    <col min="5" max="6" width="10.28515625" style="22" customWidth="1"/>
    <col min="7" max="7" width="11.28515625" bestFit="1" customWidth="1"/>
    <col min="8" max="11" width="10.28515625" customWidth="1"/>
    <col min="12" max="14" width="10.7109375" customWidth="1"/>
    <col min="15" max="15" width="10.85546875" customWidth="1"/>
    <col min="16" max="16" width="10.7109375" customWidth="1"/>
    <col min="17" max="17" width="10.85546875" customWidth="1"/>
    <col min="18" max="22" width="10.7109375" customWidth="1"/>
    <col min="23" max="23" width="10.85546875" customWidth="1"/>
    <col min="24" max="28" width="10.7109375" customWidth="1"/>
  </cols>
  <sheetData>
    <row r="3" spans="2:13">
      <c r="B3" s="1" t="s">
        <v>0</v>
      </c>
      <c r="C3" s="2" t="str">
        <f>+VLOOKUP(ModA,B3:K8,6,FALSE)</f>
        <v>None</v>
      </c>
      <c r="D3" s="2" t="str">
        <f>+VLOOKUP(ModB,B3:K8,6,FALSE)</f>
        <v>None</v>
      </c>
      <c r="E3" s="2" t="str">
        <f>+VLOOKUP(ModC,B3:K8,6,FALSE)</f>
        <v>None</v>
      </c>
      <c r="F3" s="2" t="str">
        <f>+VLOOKUP(ModD,B3:K8,6,FALSE)</f>
        <v>None</v>
      </c>
      <c r="G3" s="1" t="s">
        <v>7</v>
      </c>
      <c r="H3" s="1" t="s">
        <v>6</v>
      </c>
      <c r="I3" s="1" t="s">
        <v>9</v>
      </c>
      <c r="J3" s="1" t="s">
        <v>10</v>
      </c>
      <c r="K3" s="1" t="s">
        <v>191</v>
      </c>
      <c r="L3" s="2">
        <v>0</v>
      </c>
      <c r="M3">
        <v>1</v>
      </c>
    </row>
    <row r="4" spans="2:13">
      <c r="B4" s="1" t="s">
        <v>1</v>
      </c>
      <c r="C4" s="2" t="str">
        <f>+VLOOKUP(ModA,B3:K8,7,FALSE)</f>
        <v>Viterbi</v>
      </c>
      <c r="D4" s="2" t="str">
        <f>+VLOOKUP(ModB,B3:K8,7,FALSE)</f>
        <v>Viterbi</v>
      </c>
      <c r="E4" s="2" t="str">
        <f>+VLOOKUP(ModC,B3:K8,7,FALSE)</f>
        <v>Viterbi</v>
      </c>
      <c r="F4" s="2" t="str">
        <f>+VLOOKUP(ModD,B3:K8,7,FALSE)</f>
        <v>Viterbi</v>
      </c>
      <c r="G4" s="1" t="s">
        <v>7</v>
      </c>
      <c r="H4" s="1" t="s">
        <v>6</v>
      </c>
      <c r="I4" s="1" t="s">
        <v>9</v>
      </c>
      <c r="J4" s="1" t="s">
        <v>10</v>
      </c>
      <c r="K4" s="1" t="s">
        <v>191</v>
      </c>
      <c r="L4" s="2">
        <v>0</v>
      </c>
      <c r="M4">
        <v>2</v>
      </c>
    </row>
    <row r="5" spans="2:13">
      <c r="B5" s="1" t="s">
        <v>2</v>
      </c>
      <c r="C5" s="2" t="str">
        <f>+VLOOKUP(ModA,B3:K8,8,FALSE)</f>
        <v>TPC</v>
      </c>
      <c r="D5" s="2" t="str">
        <f>+VLOOKUP(ModB,B3:K8,8,FALSE)</f>
        <v>TPC</v>
      </c>
      <c r="E5" s="2" t="str">
        <f>+VLOOKUP(ModC,B3:K8,8,FALSE)</f>
        <v>TPC</v>
      </c>
      <c r="F5" s="2" t="str">
        <f>+VLOOKUP(ModD,B3:K8,8,FALSE)</f>
        <v>TPC</v>
      </c>
      <c r="G5" s="1" t="s">
        <v>7</v>
      </c>
      <c r="H5" s="1" t="s">
        <v>6</v>
      </c>
      <c r="I5" s="1" t="s">
        <v>9</v>
      </c>
      <c r="J5" s="1" t="s">
        <v>10</v>
      </c>
      <c r="K5" s="1" t="s">
        <v>191</v>
      </c>
      <c r="L5" s="2">
        <v>0</v>
      </c>
      <c r="M5">
        <v>2</v>
      </c>
    </row>
    <row r="6" spans="2:13">
      <c r="B6" s="1" t="s">
        <v>3</v>
      </c>
      <c r="C6" s="2" t="str">
        <f>+VLOOKUP(ModA,B3:K8,9,FALSE)</f>
        <v>LDPC</v>
      </c>
      <c r="D6" s="2" t="str">
        <f>+VLOOKUP(ModB,B3:K8,9,FALSE)</f>
        <v>LDPC</v>
      </c>
      <c r="E6" s="2" t="str">
        <f>+VLOOKUP(ModC,B3:K8,9,FALSE)</f>
        <v>LDPC</v>
      </c>
      <c r="F6" s="2" t="str">
        <f>+VLOOKUP(ModD,B3:K8,9,FALSE)</f>
        <v>LDPC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191</v>
      </c>
      <c r="L6" s="2">
        <v>1</v>
      </c>
      <c r="M6">
        <v>3</v>
      </c>
    </row>
    <row r="7" spans="2:13">
      <c r="B7" s="1" t="s">
        <v>4</v>
      </c>
      <c r="C7" s="2" t="str">
        <f>+VLOOKUP(ModA,B3:K8,10,FALSE)</f>
        <v>Other</v>
      </c>
      <c r="D7" s="2" t="str">
        <f>+VLOOKUP(ModB,B3:K8,10,FALSE)</f>
        <v>Other</v>
      </c>
      <c r="E7" s="2" t="str">
        <f>+VLOOKUP(ModC,B3:K8,10,FALSE)</f>
        <v>Other</v>
      </c>
      <c r="F7" s="2" t="str">
        <f>+VLOOKUP(ModD,B3:K8,10,FALSE)</f>
        <v>Other</v>
      </c>
      <c r="G7" s="1" t="s">
        <v>7</v>
      </c>
      <c r="H7" s="1" t="s">
        <v>9</v>
      </c>
      <c r="I7" s="1" t="s">
        <v>10</v>
      </c>
      <c r="J7" s="1" t="s">
        <v>191</v>
      </c>
      <c r="K7" s="1" t="s">
        <v>12</v>
      </c>
      <c r="L7" s="2">
        <v>2</v>
      </c>
      <c r="M7">
        <v>3</v>
      </c>
    </row>
    <row r="8" spans="2:13">
      <c r="B8" s="1" t="s">
        <v>5</v>
      </c>
      <c r="C8" s="2"/>
      <c r="D8" s="2"/>
      <c r="E8" s="2"/>
      <c r="F8" s="2"/>
      <c r="G8" s="1" t="s">
        <v>7</v>
      </c>
      <c r="H8" s="1" t="s">
        <v>6</v>
      </c>
      <c r="I8" s="1" t="s">
        <v>9</v>
      </c>
      <c r="J8" s="1" t="s">
        <v>10</v>
      </c>
      <c r="K8" s="1" t="s">
        <v>191</v>
      </c>
      <c r="L8" s="2">
        <v>3</v>
      </c>
      <c r="M8">
        <v>4</v>
      </c>
    </row>
    <row r="10" spans="2:13">
      <c r="B10" t="s">
        <v>7</v>
      </c>
      <c r="C10" t="str">
        <f>+VLOOKUP(FecTypeA,B10:M15,6,FALSE)</f>
        <v>256 Block</v>
      </c>
      <c r="D10" t="str">
        <f>+VLOOKUP(FecTypeB,B10:M15,6,FALSE)</f>
        <v>256 Block</v>
      </c>
      <c r="E10" s="22" t="str">
        <f>+VLOOKUP(FecTypeC,B10:M15,6,FALSE)</f>
        <v>256 Block</v>
      </c>
      <c r="F10" s="22" t="str">
        <f>+VLOOKUP(FecTypeD,B10:M15,6,FALSE)</f>
        <v>256 Block</v>
      </c>
      <c r="G10" s="1" t="s">
        <v>7</v>
      </c>
      <c r="H10" s="1" t="s">
        <v>12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</row>
    <row r="11" spans="2:13">
      <c r="B11" t="s">
        <v>6</v>
      </c>
      <c r="C11" t="str">
        <f>+VLOOKUP(FecTypeA,B10:M15,7,FALSE)</f>
        <v>512 Block</v>
      </c>
      <c r="D11" t="str">
        <f>+VLOOKUP(FecTypeB,B10:M15,7,FALSE)</f>
        <v>512 Block</v>
      </c>
      <c r="E11" s="22" t="str">
        <f>+VLOOKUP(FecTypeC,B10:M15,7,FALSE)</f>
        <v>512 Block</v>
      </c>
      <c r="F11" s="22" t="str">
        <f>+VLOOKUP(FecTypeD,B10:M15,7,FALSE)</f>
        <v>512 Block</v>
      </c>
      <c r="G11" s="1" t="s">
        <v>7</v>
      </c>
      <c r="H11" s="1" t="s">
        <v>163</v>
      </c>
      <c r="I11" s="1" t="s">
        <v>164</v>
      </c>
      <c r="J11" s="1" t="s">
        <v>13</v>
      </c>
      <c r="K11" s="1" t="s">
        <v>12</v>
      </c>
      <c r="L11" s="1" t="s">
        <v>12</v>
      </c>
      <c r="M11" s="1" t="s">
        <v>12</v>
      </c>
    </row>
    <row r="12" spans="2:13">
      <c r="B12" t="s">
        <v>8</v>
      </c>
      <c r="C12" t="str">
        <f>+VLOOKUP(FecTypeA,B10:M15,8,FALSE)</f>
        <v>1k Block</v>
      </c>
      <c r="D12" t="str">
        <f>+VLOOKUP(FecTypeB,B10:M15,8,FALSE)</f>
        <v>1k Block</v>
      </c>
      <c r="E12" s="22" t="str">
        <f>+VLOOKUP(FecTypeC,B10:M15,8,FALSE)</f>
        <v>1k Block</v>
      </c>
      <c r="F12" s="22" t="str">
        <f>+VLOOKUP(FecTypeD,B10:M15,8,FALSE)</f>
        <v>1k Block</v>
      </c>
      <c r="G12" s="1" t="s">
        <v>7</v>
      </c>
      <c r="H12" s="1" t="s">
        <v>165</v>
      </c>
      <c r="I12" s="1" t="s">
        <v>13</v>
      </c>
      <c r="J12" s="1" t="s">
        <v>12</v>
      </c>
      <c r="K12" s="1" t="s">
        <v>12</v>
      </c>
      <c r="L12" s="1" t="s">
        <v>12</v>
      </c>
      <c r="M12" s="1" t="s">
        <v>12</v>
      </c>
    </row>
    <row r="13" spans="2:13">
      <c r="B13" t="s">
        <v>9</v>
      </c>
      <c r="C13" t="str">
        <f>+VLOOKUP(FecTypeA,B10:M15,9,FALSE)</f>
        <v>2k Block</v>
      </c>
      <c r="D13" t="str">
        <f>+VLOOKUP(FecTypeB,B10:M15,9,FALSE)</f>
        <v>2k Block</v>
      </c>
      <c r="E13" s="22" t="str">
        <f>+VLOOKUP(FecTypeC,B10:M15,9,FALSE)</f>
        <v>2k Block</v>
      </c>
      <c r="F13" s="22" t="str">
        <f>+VLOOKUP(FecTypeD,B10:M15,9,FALSE)</f>
        <v>2k Block</v>
      </c>
      <c r="G13" s="1" t="s">
        <v>15</v>
      </c>
      <c r="H13" s="1" t="s">
        <v>14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</row>
    <row r="14" spans="2:13">
      <c r="B14" t="s">
        <v>10</v>
      </c>
      <c r="C14" t="str">
        <f>+VLOOKUP(FecTypeA,B10:M15,10,FALSE)</f>
        <v>4k Block</v>
      </c>
      <c r="D14" t="str">
        <f>+VLOOKUP(FecTypeB,B10:M15,10,FALSE)</f>
        <v>4k Block</v>
      </c>
      <c r="E14" s="22" t="str">
        <f>+VLOOKUP(FecTypeC,B10:M15,10,FALSE)</f>
        <v>4k Block</v>
      </c>
      <c r="F14" s="22" t="str">
        <f>+VLOOKUP(FecTypeD,B10:M15,10,FALSE)</f>
        <v>4k Block</v>
      </c>
      <c r="G14" s="1" t="s">
        <v>16</v>
      </c>
      <c r="H14" s="1" t="s">
        <v>17</v>
      </c>
      <c r="I14" s="1" t="s">
        <v>18</v>
      </c>
      <c r="J14" s="1" t="s">
        <v>19</v>
      </c>
      <c r="K14" s="1" t="s">
        <v>20</v>
      </c>
      <c r="L14" s="1" t="s">
        <v>21</v>
      </c>
      <c r="M14" s="1" t="s">
        <v>22</v>
      </c>
    </row>
    <row r="15" spans="2:13">
      <c r="B15" s="53" t="s">
        <v>191</v>
      </c>
      <c r="C15" t="str">
        <f>+VLOOKUP(FecTypeA,B10:M15,11,FALSE)</f>
        <v>8k Block</v>
      </c>
      <c r="D15" t="str">
        <f>+VLOOKUP(FecTypeB,B10:M15,11,FALSE)</f>
        <v>8k Block</v>
      </c>
      <c r="E15" s="22" t="str">
        <f>+VLOOKUP(FecTypeC,B10:M15,11,FALSE)</f>
        <v>8k Block</v>
      </c>
      <c r="F15" s="22" t="str">
        <f>+VLOOKUP(FecTypeD,B10:M15,11,FALSE)</f>
        <v>8k Block</v>
      </c>
      <c r="G15" s="1" t="s">
        <v>191</v>
      </c>
      <c r="H15" s="53" t="s">
        <v>12</v>
      </c>
      <c r="I15" s="53" t="s">
        <v>12</v>
      </c>
      <c r="J15" s="53" t="s">
        <v>12</v>
      </c>
      <c r="K15" s="53" t="s">
        <v>12</v>
      </c>
      <c r="L15" s="53" t="s">
        <v>12</v>
      </c>
      <c r="M15" s="53" t="s">
        <v>12</v>
      </c>
    </row>
    <row r="16" spans="2:13">
      <c r="C16" t="str">
        <f>+VLOOKUP(FecTypeA,B10:M15,12,FALSE)</f>
        <v>16k Block</v>
      </c>
      <c r="D16" t="str">
        <f>+VLOOKUP(FecTypeB,B10:M15,12,FALSE)</f>
        <v>16k Block</v>
      </c>
      <c r="E16" s="22" t="str">
        <f>+VLOOKUP(FecTypeC,B10:M15,12,FALSE)</f>
        <v>16k Block</v>
      </c>
      <c r="F16" s="22" t="str">
        <f>+VLOOKUP(FecTypeD,B10:M15,12,FALSE)</f>
        <v>16k Block</v>
      </c>
    </row>
    <row r="18" spans="2:15">
      <c r="C18" t="str">
        <f>+IF(FecTypeA="LDPC","",FecOptionA)</f>
        <v/>
      </c>
      <c r="D18" t="str">
        <f>+IF(FecTypeB="LDPC","",FecOptionB)</f>
        <v/>
      </c>
      <c r="E18" s="22" t="str">
        <f>+IF(FecTypeC="LDPC","",FecOptionC)</f>
        <v/>
      </c>
      <c r="F18" s="22" t="str">
        <f>+IF(FecTypeD="LDPC","",FecOptionD)</f>
        <v/>
      </c>
    </row>
    <row r="20" spans="2:15">
      <c r="B20" t="s">
        <v>26</v>
      </c>
      <c r="C20" t="str">
        <f>+VLOOKUP(CONCATENATE(ModA,":",FecTypeA,":",C18),B20:O68,6,FALSE)</f>
        <v>1/2</v>
      </c>
      <c r="D20" t="str">
        <f>+VLOOKUP(CONCATENATE(ModB,":",FecTypeB,":",D18),B20:O68,6,FALSE)</f>
        <v>1/2</v>
      </c>
      <c r="E20" s="22" t="str">
        <f>+VLOOKUP(CONCATENATE(ModC,":",FecTypeC,":",E18),B20:O68,6,FALSE)</f>
        <v>1/2</v>
      </c>
      <c r="F20" s="22" t="str">
        <f>+VLOOKUP(CONCATENATE(ModD,":",FecTypeD,":",F18),B20:O68,6,FALSE)</f>
        <v>1/2</v>
      </c>
      <c r="G20" s="1" t="s">
        <v>54</v>
      </c>
      <c r="H20" s="1" t="s">
        <v>12</v>
      </c>
      <c r="I20" s="1" t="s">
        <v>12</v>
      </c>
      <c r="J20" s="1" t="s">
        <v>12</v>
      </c>
      <c r="K20" s="1" t="s">
        <v>12</v>
      </c>
      <c r="L20" s="1" t="s">
        <v>12</v>
      </c>
      <c r="M20" s="1" t="s">
        <v>12</v>
      </c>
      <c r="N20" s="1" t="s">
        <v>12</v>
      </c>
      <c r="O20" s="1" t="s">
        <v>12</v>
      </c>
    </row>
    <row r="21" spans="2:15">
      <c r="B21" t="s">
        <v>35</v>
      </c>
      <c r="C21" t="str">
        <f>+VLOOKUP(CONCATENATE(ModA,":",FecTypeA,":",C18),B20:O68,7,FALSE)</f>
        <v>2/3</v>
      </c>
      <c r="D21" t="str">
        <f>+VLOOKUP(CONCATENATE(ModB,":",FecTypeB,":",D18),B20:O68,7,FALSE)</f>
        <v>2/3</v>
      </c>
      <c r="E21" s="22" t="str">
        <f>+VLOOKUP(CONCATENATE(ModC,":",FecTypeC,":",E18),B20:O68,7,FALSE)</f>
        <v>2/3</v>
      </c>
      <c r="F21" s="22" t="str">
        <f>+VLOOKUP(CONCATENATE(ModD,":",FecTypeD,":",F18),B20:O68,7,FALSE)</f>
        <v>2/3</v>
      </c>
      <c r="G21" s="1" t="s">
        <v>54</v>
      </c>
      <c r="H21" s="1" t="s">
        <v>12</v>
      </c>
      <c r="I21" s="1" t="s">
        <v>12</v>
      </c>
      <c r="J21" s="1" t="s">
        <v>12</v>
      </c>
      <c r="K21" s="1" t="s">
        <v>12</v>
      </c>
      <c r="L21" s="1" t="s">
        <v>12</v>
      </c>
      <c r="M21" s="1" t="s">
        <v>12</v>
      </c>
      <c r="N21" s="1" t="s">
        <v>12</v>
      </c>
      <c r="O21" s="1" t="s">
        <v>12</v>
      </c>
    </row>
    <row r="22" spans="2:15">
      <c r="B22" t="s">
        <v>27</v>
      </c>
      <c r="C22" t="str">
        <f>+VLOOKUP(CONCATENATE(ModA,":",FecTypeA,":",C18),B20:O68,8,FALSE)</f>
        <v>3/4</v>
      </c>
      <c r="D22" t="str">
        <f>+VLOOKUP(CONCATENATE(ModB,":",FecTypeB,":",D18),B20:O68,8,FALSE)</f>
        <v>3/4</v>
      </c>
      <c r="E22" s="22" t="str">
        <f>+VLOOKUP(CONCATENATE(ModC,":",FecTypeC,":",E18),B20:O68,8,FALSE)</f>
        <v>3/4</v>
      </c>
      <c r="F22" s="22" t="str">
        <f>+VLOOKUP(CONCATENATE(ModD,":",FecTypeD,":",F18),B20:O68,8,FALSE)</f>
        <v>3/4</v>
      </c>
      <c r="G22" s="1" t="s">
        <v>54</v>
      </c>
      <c r="H22" s="1" t="s">
        <v>12</v>
      </c>
      <c r="I22" s="1" t="s">
        <v>12</v>
      </c>
      <c r="J22" s="1" t="s">
        <v>12</v>
      </c>
      <c r="K22" s="1" t="s">
        <v>12</v>
      </c>
      <c r="L22" s="1" t="s">
        <v>12</v>
      </c>
      <c r="M22" s="1" t="s">
        <v>12</v>
      </c>
      <c r="N22" s="1" t="s">
        <v>12</v>
      </c>
      <c r="O22" s="1" t="s">
        <v>12</v>
      </c>
    </row>
    <row r="23" spans="2:15">
      <c r="B23" t="s">
        <v>28</v>
      </c>
      <c r="C23" t="str">
        <f>+VLOOKUP(CONCATENATE(ModA,":",FecTypeA,":",C18),B20:O68,9,FALSE)</f>
        <v>14/17</v>
      </c>
      <c r="D23" t="str">
        <f>+VLOOKUP(CONCATENATE(ModB,":",FecTypeB,":",D18),B20:O68,9,FALSE)</f>
        <v>14/17</v>
      </c>
      <c r="E23" s="22" t="str">
        <f>+VLOOKUP(CONCATENATE(ModC,":",FecTypeC,":",E18),B20:O68,9,FALSE)</f>
        <v>14/17</v>
      </c>
      <c r="F23" s="22" t="str">
        <f>+VLOOKUP(CONCATENATE(ModD,":",FecTypeD,":",F18),B20:O68,9,FALSE)</f>
        <v>14/17</v>
      </c>
      <c r="G23" s="1" t="s">
        <v>54</v>
      </c>
      <c r="H23" s="1" t="s">
        <v>12</v>
      </c>
      <c r="I23" s="1" t="s">
        <v>12</v>
      </c>
      <c r="J23" s="1" t="s">
        <v>12</v>
      </c>
      <c r="K23" s="1" t="s">
        <v>12</v>
      </c>
      <c r="L23" s="1" t="s">
        <v>12</v>
      </c>
      <c r="M23" s="1" t="s">
        <v>12</v>
      </c>
      <c r="N23" s="1" t="s">
        <v>12</v>
      </c>
      <c r="O23" s="1" t="s">
        <v>12</v>
      </c>
    </row>
    <row r="24" spans="2:15">
      <c r="B24" t="s">
        <v>29</v>
      </c>
      <c r="C24" t="str">
        <f>+VLOOKUP(CONCATENATE(ModA,":",FecTypeA,":",C18),B20:O68,10,FALSE)</f>
        <v>7/8</v>
      </c>
      <c r="D24" t="str">
        <f>+VLOOKUP(CONCATENATE(ModB,":",FecTypeB,":",D18),B20:O68,10,FALSE)</f>
        <v>7/8</v>
      </c>
      <c r="E24" s="22" t="str">
        <f>+VLOOKUP(CONCATENATE(ModC,":",FecTypeC,":",E18),B20:O68,10,FALSE)</f>
        <v>7/8</v>
      </c>
      <c r="F24" s="22" t="str">
        <f>+VLOOKUP(CONCATENATE(ModD,":",FecTypeD,":",F18),B20:O68,10,FALSE)</f>
        <v>7/8</v>
      </c>
      <c r="G24" s="1" t="s">
        <v>54</v>
      </c>
      <c r="H24" s="1" t="s">
        <v>12</v>
      </c>
      <c r="I24" s="1" t="s">
        <v>12</v>
      </c>
      <c r="J24" s="1" t="s">
        <v>12</v>
      </c>
      <c r="K24" s="1" t="s">
        <v>12</v>
      </c>
      <c r="L24" s="1" t="s">
        <v>12</v>
      </c>
      <c r="M24" s="1" t="s">
        <v>12</v>
      </c>
      <c r="N24" s="1" t="s">
        <v>12</v>
      </c>
      <c r="O24" s="1" t="s">
        <v>12</v>
      </c>
    </row>
    <row r="25" spans="2:15">
      <c r="B25" t="s">
        <v>30</v>
      </c>
      <c r="C25" t="str">
        <f>+VLOOKUP(CONCATENATE(ModA,":",FecTypeA,":",C18),B20:O68,11,FALSE)</f>
        <v>10/11</v>
      </c>
      <c r="D25" t="str">
        <f>+VLOOKUP(CONCATENATE(ModB,":",FecTypeB,":",D18),B20:O68,11,FALSE)</f>
        <v>10/11</v>
      </c>
      <c r="E25" s="22" t="str">
        <f>+VLOOKUP(CONCATENATE(ModC,":",FecTypeC,":",E18),B20:O68,11,FALSE)</f>
        <v>10/11</v>
      </c>
      <c r="F25" s="22" t="str">
        <f>+VLOOKUP(CONCATENATE(ModD,":",FecTypeD,":",F18),B20:O68,11,FALSE)</f>
        <v>10/11</v>
      </c>
      <c r="G25" s="1" t="s">
        <v>54</v>
      </c>
      <c r="H25" s="1" t="s">
        <v>12</v>
      </c>
      <c r="I25" s="1" t="s">
        <v>12</v>
      </c>
      <c r="J25" s="1" t="s">
        <v>12</v>
      </c>
      <c r="K25" s="1" t="s">
        <v>12</v>
      </c>
      <c r="L25" s="1" t="s">
        <v>12</v>
      </c>
      <c r="M25" s="1" t="s">
        <v>12</v>
      </c>
      <c r="N25" s="1" t="s">
        <v>12</v>
      </c>
      <c r="O25" s="1" t="s">
        <v>12</v>
      </c>
    </row>
    <row r="26" spans="2:15">
      <c r="B26" t="s">
        <v>34</v>
      </c>
      <c r="C26" t="str">
        <f>+VLOOKUP(CONCATENATE(ModA,":",FecTypeA,":",C18),B20:O68,12,FALSE)</f>
        <v>16/17</v>
      </c>
      <c r="D26" t="str">
        <f>+VLOOKUP(CONCATENATE(ModB,":",FecTypeB,":",D18),B20:O68,12,FALSE)</f>
        <v>16/17</v>
      </c>
      <c r="E26" s="22" t="str">
        <f>+VLOOKUP(CONCATENATE(ModC,":",FecTypeC,":",E18),B20:O68,12,FALSE)</f>
        <v>16/17</v>
      </c>
      <c r="F26" s="22" t="str">
        <f>+VLOOKUP(CONCATENATE(ModD,":",FecTypeD,":",F18),B20:O68,12,FALSE)</f>
        <v>16/17</v>
      </c>
      <c r="G26" s="1" t="s">
        <v>55</v>
      </c>
      <c r="H26" s="1" t="s">
        <v>56</v>
      </c>
      <c r="I26" s="1" t="s">
        <v>57</v>
      </c>
      <c r="J26" s="1" t="s">
        <v>58</v>
      </c>
      <c r="K26" s="1" t="s">
        <v>12</v>
      </c>
      <c r="L26" s="1" t="s">
        <v>12</v>
      </c>
      <c r="M26" s="1" t="s">
        <v>12</v>
      </c>
      <c r="N26" s="1" t="s">
        <v>12</v>
      </c>
      <c r="O26" s="1" t="s">
        <v>12</v>
      </c>
    </row>
    <row r="27" spans="2:15">
      <c r="B27" t="s">
        <v>31</v>
      </c>
      <c r="C27" t="str">
        <f>+VLOOKUP(CONCATENATE(ModA,":",FecTypeA,":",C18),B20:O68,13,FALSE)</f>
        <v xml:space="preserve"> </v>
      </c>
      <c r="D27" t="str">
        <f>+VLOOKUP(CONCATENATE(ModB,":",FecTypeB,":",D18),B20:O68,13,FALSE)</f>
        <v xml:space="preserve"> </v>
      </c>
      <c r="E27" s="22" t="str">
        <f>+VLOOKUP(CONCATENATE(ModC,":",FecTypeC,":",E18),B20:O68,13,FALSE)</f>
        <v xml:space="preserve"> </v>
      </c>
      <c r="F27" s="22" t="str">
        <f>+VLOOKUP(CONCATENATE(ModD,":",FecTypeD,":",F18),B20:O68,13,FALSE)</f>
        <v xml:space="preserve"> </v>
      </c>
      <c r="G27" s="1" t="s">
        <v>55</v>
      </c>
      <c r="H27" s="1" t="s">
        <v>56</v>
      </c>
      <c r="I27" s="1" t="s">
        <v>57</v>
      </c>
      <c r="J27" s="1" t="s">
        <v>58</v>
      </c>
      <c r="K27" s="1" t="s">
        <v>12</v>
      </c>
      <c r="L27" s="1" t="s">
        <v>12</v>
      </c>
      <c r="M27" s="1" t="s">
        <v>12</v>
      </c>
      <c r="N27" s="1" t="s">
        <v>12</v>
      </c>
      <c r="O27" s="1" t="s">
        <v>12</v>
      </c>
    </row>
    <row r="28" spans="2:15">
      <c r="B28" t="s">
        <v>32</v>
      </c>
      <c r="C28" t="str">
        <f>+VLOOKUP(CONCATENATE(ModA,":",FecTypeA,":",C18),B20:O68,14,FALSE)</f>
        <v xml:space="preserve"> </v>
      </c>
      <c r="D28" t="str">
        <f>+VLOOKUP(CONCATENATE(ModB,":",FecTypeB,":",D18),B20:O68,14,FALSE)</f>
        <v xml:space="preserve"> </v>
      </c>
      <c r="E28" s="22" t="str">
        <f>+VLOOKUP(CONCATENATE(ModC,":",FecTypeC,":",E18),B20:O68,14,FALSE)</f>
        <v xml:space="preserve"> </v>
      </c>
      <c r="F28" s="22" t="str">
        <f>+VLOOKUP(CONCATENATE(ModD,":",FecTypeD,":",F18),B20:O68,14,FALSE)</f>
        <v xml:space="preserve"> </v>
      </c>
      <c r="G28" s="1" t="s">
        <v>55</v>
      </c>
      <c r="H28" s="1" t="s">
        <v>56</v>
      </c>
      <c r="I28" s="1" t="s">
        <v>57</v>
      </c>
      <c r="J28" s="1" t="s">
        <v>58</v>
      </c>
      <c r="K28" s="1" t="s">
        <v>12</v>
      </c>
      <c r="L28" s="1" t="s">
        <v>12</v>
      </c>
      <c r="M28" s="1" t="s">
        <v>12</v>
      </c>
      <c r="N28" s="1" t="s">
        <v>12</v>
      </c>
      <c r="O28" s="1" t="s">
        <v>12</v>
      </c>
    </row>
    <row r="29" spans="2:15">
      <c r="B29" t="s">
        <v>33</v>
      </c>
      <c r="G29" s="1" t="s">
        <v>55</v>
      </c>
      <c r="H29" s="1" t="s">
        <v>56</v>
      </c>
      <c r="I29" s="1" t="s">
        <v>57</v>
      </c>
      <c r="J29" s="1" t="s">
        <v>58</v>
      </c>
      <c r="K29" s="1" t="s">
        <v>12</v>
      </c>
      <c r="L29" s="1" t="s">
        <v>12</v>
      </c>
      <c r="M29" s="1" t="s">
        <v>12</v>
      </c>
      <c r="N29" s="1" t="s">
        <v>12</v>
      </c>
      <c r="O29" s="1" t="s">
        <v>12</v>
      </c>
    </row>
    <row r="30" spans="2:15">
      <c r="B30" s="22" t="s">
        <v>166</v>
      </c>
      <c r="G30" s="1" t="s">
        <v>55</v>
      </c>
      <c r="H30" s="1" t="s">
        <v>56</v>
      </c>
      <c r="I30" s="1" t="s">
        <v>57</v>
      </c>
      <c r="J30" s="1" t="s">
        <v>58</v>
      </c>
      <c r="K30" s="1" t="s">
        <v>12</v>
      </c>
      <c r="L30" s="1" t="s">
        <v>12</v>
      </c>
      <c r="M30" s="1" t="s">
        <v>12</v>
      </c>
      <c r="N30" s="1" t="s">
        <v>12</v>
      </c>
      <c r="O30" s="1" t="s">
        <v>12</v>
      </c>
    </row>
    <row r="31" spans="2:15">
      <c r="B31" s="22" t="s">
        <v>167</v>
      </c>
      <c r="G31" s="1" t="s">
        <v>55</v>
      </c>
      <c r="H31" s="1" t="s">
        <v>56</v>
      </c>
      <c r="I31" s="1" t="s">
        <v>57</v>
      </c>
      <c r="J31" s="1" t="s">
        <v>58</v>
      </c>
      <c r="K31" s="1" t="s">
        <v>12</v>
      </c>
      <c r="L31" s="1" t="s">
        <v>12</v>
      </c>
      <c r="M31" s="1" t="s">
        <v>12</v>
      </c>
      <c r="N31" s="1" t="s">
        <v>12</v>
      </c>
      <c r="O31" s="1" t="s">
        <v>12</v>
      </c>
    </row>
    <row r="32" spans="2:15">
      <c r="B32" s="22" t="s">
        <v>168</v>
      </c>
      <c r="G32" s="1" t="s">
        <v>55</v>
      </c>
      <c r="H32" s="1" t="s">
        <v>56</v>
      </c>
      <c r="I32" s="1" t="s">
        <v>57</v>
      </c>
      <c r="J32" s="1" t="s">
        <v>58</v>
      </c>
      <c r="K32" s="1" t="s">
        <v>12</v>
      </c>
      <c r="L32" s="1" t="s">
        <v>12</v>
      </c>
      <c r="M32" s="1" t="s">
        <v>12</v>
      </c>
      <c r="N32" s="1" t="s">
        <v>12</v>
      </c>
      <c r="O32" s="1" t="s">
        <v>12</v>
      </c>
    </row>
    <row r="33" spans="2:15">
      <c r="B33" s="22" t="s">
        <v>169</v>
      </c>
      <c r="G33" s="1" t="s">
        <v>55</v>
      </c>
      <c r="H33" s="1" t="s">
        <v>56</v>
      </c>
      <c r="I33" s="1" t="s">
        <v>57</v>
      </c>
      <c r="J33" s="1" t="s">
        <v>58</v>
      </c>
      <c r="K33" s="1" t="s">
        <v>12</v>
      </c>
      <c r="L33" s="1" t="s">
        <v>12</v>
      </c>
      <c r="M33" s="1" t="s">
        <v>12</v>
      </c>
      <c r="N33" s="1" t="s">
        <v>12</v>
      </c>
      <c r="O33" s="1" t="s">
        <v>12</v>
      </c>
    </row>
    <row r="34" spans="2:15">
      <c r="B34" s="22" t="s">
        <v>170</v>
      </c>
      <c r="G34" s="1" t="s">
        <v>55</v>
      </c>
      <c r="H34" s="1" t="s">
        <v>56</v>
      </c>
      <c r="I34" s="1" t="s">
        <v>57</v>
      </c>
      <c r="J34" s="1" t="s">
        <v>58</v>
      </c>
      <c r="K34" s="1" t="s">
        <v>12</v>
      </c>
      <c r="L34" s="1" t="s">
        <v>12</v>
      </c>
      <c r="M34" s="1" t="s">
        <v>12</v>
      </c>
      <c r="N34" s="1" t="s">
        <v>12</v>
      </c>
      <c r="O34" s="1" t="s">
        <v>12</v>
      </c>
    </row>
    <row r="35" spans="2:15">
      <c r="B35" s="22" t="s">
        <v>171</v>
      </c>
      <c r="G35" s="1" t="s">
        <v>55</v>
      </c>
      <c r="H35" s="1" t="s">
        <v>56</v>
      </c>
      <c r="I35" s="1" t="s">
        <v>57</v>
      </c>
      <c r="J35" s="1" t="s">
        <v>58</v>
      </c>
      <c r="K35" s="1" t="s">
        <v>12</v>
      </c>
      <c r="L35" s="1" t="s">
        <v>12</v>
      </c>
      <c r="M35" s="1" t="s">
        <v>12</v>
      </c>
      <c r="N35" s="1" t="s">
        <v>12</v>
      </c>
      <c r="O35" s="1" t="s">
        <v>12</v>
      </c>
    </row>
    <row r="36" spans="2:15">
      <c r="B36" s="22" t="s">
        <v>172</v>
      </c>
      <c r="G36" s="1" t="s">
        <v>55</v>
      </c>
      <c r="H36" s="1" t="s">
        <v>56</v>
      </c>
      <c r="I36" s="1" t="s">
        <v>57</v>
      </c>
      <c r="J36" s="1" t="s">
        <v>58</v>
      </c>
      <c r="K36" s="1" t="s">
        <v>12</v>
      </c>
      <c r="L36" s="1" t="s">
        <v>12</v>
      </c>
      <c r="M36" s="1" t="s">
        <v>12</v>
      </c>
      <c r="N36" s="1" t="s">
        <v>12</v>
      </c>
      <c r="O36" s="1" t="s">
        <v>12</v>
      </c>
    </row>
    <row r="37" spans="2:15">
      <c r="B37" s="22" t="s">
        <v>173</v>
      </c>
      <c r="G37" s="1" t="s">
        <v>55</v>
      </c>
      <c r="H37" s="1" t="s">
        <v>56</v>
      </c>
      <c r="I37" s="1" t="s">
        <v>57</v>
      </c>
      <c r="J37" s="1" t="s">
        <v>58</v>
      </c>
      <c r="K37" s="1" t="s">
        <v>12</v>
      </c>
      <c r="L37" s="1" t="s">
        <v>12</v>
      </c>
      <c r="M37" s="1" t="s">
        <v>12</v>
      </c>
      <c r="N37" s="1" t="s">
        <v>12</v>
      </c>
      <c r="O37" s="1" t="s">
        <v>12</v>
      </c>
    </row>
    <row r="38" spans="2:15">
      <c r="B38" t="s">
        <v>36</v>
      </c>
      <c r="G38" s="1" t="s">
        <v>55</v>
      </c>
      <c r="H38" s="1" t="s">
        <v>56</v>
      </c>
      <c r="I38" s="1" t="s">
        <v>57</v>
      </c>
      <c r="J38" s="1" t="s">
        <v>58</v>
      </c>
      <c r="K38" s="1" t="s">
        <v>12</v>
      </c>
      <c r="L38" s="1" t="s">
        <v>12</v>
      </c>
      <c r="M38" s="1" t="s">
        <v>12</v>
      </c>
      <c r="N38" s="1" t="s">
        <v>12</v>
      </c>
      <c r="O38" s="1" t="s">
        <v>12</v>
      </c>
    </row>
    <row r="39" spans="2:15">
      <c r="B39" t="s">
        <v>37</v>
      </c>
      <c r="G39" s="1" t="s">
        <v>55</v>
      </c>
      <c r="H39" s="1" t="s">
        <v>56</v>
      </c>
      <c r="I39" s="1" t="s">
        <v>57</v>
      </c>
      <c r="J39" s="1" t="s">
        <v>58</v>
      </c>
      <c r="K39" s="1" t="s">
        <v>12</v>
      </c>
      <c r="L39" s="1" t="s">
        <v>12</v>
      </c>
      <c r="M39" s="1" t="s">
        <v>12</v>
      </c>
      <c r="N39" s="1" t="s">
        <v>12</v>
      </c>
      <c r="O39" s="1" t="s">
        <v>12</v>
      </c>
    </row>
    <row r="40" spans="2:15">
      <c r="B40" t="s">
        <v>38</v>
      </c>
      <c r="G40" s="1" t="s">
        <v>55</v>
      </c>
      <c r="H40" s="1" t="s">
        <v>56</v>
      </c>
      <c r="I40" s="1" t="s">
        <v>57</v>
      </c>
      <c r="J40" s="1" t="s">
        <v>58</v>
      </c>
      <c r="K40" s="1" t="s">
        <v>12</v>
      </c>
      <c r="L40" s="1" t="s">
        <v>12</v>
      </c>
      <c r="M40" s="1" t="s">
        <v>12</v>
      </c>
      <c r="N40" s="1" t="s">
        <v>12</v>
      </c>
      <c r="O40" s="1" t="s">
        <v>12</v>
      </c>
    </row>
    <row r="41" spans="2:15">
      <c r="B41" t="s">
        <v>39</v>
      </c>
      <c r="G41" s="1" t="s">
        <v>55</v>
      </c>
      <c r="H41" s="1" t="s">
        <v>56</v>
      </c>
      <c r="I41" s="1" t="s">
        <v>57</v>
      </c>
      <c r="J41" s="1" t="s">
        <v>58</v>
      </c>
      <c r="K41" s="1" t="s">
        <v>12</v>
      </c>
      <c r="L41" s="1" t="s">
        <v>12</v>
      </c>
      <c r="M41" s="1" t="s">
        <v>12</v>
      </c>
      <c r="N41" s="1" t="s">
        <v>12</v>
      </c>
      <c r="O41" s="1" t="s">
        <v>12</v>
      </c>
    </row>
    <row r="42" spans="2:15">
      <c r="B42" t="s">
        <v>40</v>
      </c>
      <c r="G42" s="1" t="s">
        <v>59</v>
      </c>
      <c r="H42" s="1" t="s">
        <v>12</v>
      </c>
      <c r="I42" s="1" t="s">
        <v>12</v>
      </c>
      <c r="J42" s="1" t="s">
        <v>12</v>
      </c>
      <c r="K42" s="1" t="s">
        <v>12</v>
      </c>
      <c r="L42" s="1" t="s">
        <v>12</v>
      </c>
      <c r="M42" s="1" t="s">
        <v>12</v>
      </c>
      <c r="N42" s="1" t="s">
        <v>12</v>
      </c>
      <c r="O42" s="1" t="s">
        <v>12</v>
      </c>
    </row>
    <row r="43" spans="2:15">
      <c r="B43" s="22" t="s">
        <v>174</v>
      </c>
      <c r="G43" s="1" t="s">
        <v>59</v>
      </c>
      <c r="H43" s="1" t="s">
        <v>12</v>
      </c>
      <c r="I43" s="1" t="s">
        <v>12</v>
      </c>
      <c r="J43" s="1" t="s">
        <v>12</v>
      </c>
      <c r="K43" s="1" t="s">
        <v>12</v>
      </c>
      <c r="L43" s="1" t="s">
        <v>12</v>
      </c>
      <c r="M43" s="1" t="s">
        <v>12</v>
      </c>
      <c r="N43" s="1" t="s">
        <v>12</v>
      </c>
      <c r="O43" s="1" t="s">
        <v>12</v>
      </c>
    </row>
    <row r="44" spans="2:15">
      <c r="B44" t="s">
        <v>41</v>
      </c>
      <c r="G44" s="1" t="s">
        <v>59</v>
      </c>
      <c r="H44" s="1" t="s">
        <v>12</v>
      </c>
      <c r="I44" s="1" t="s">
        <v>12</v>
      </c>
      <c r="J44" s="1" t="s">
        <v>12</v>
      </c>
      <c r="K44" s="1" t="s">
        <v>12</v>
      </c>
      <c r="L44" s="1" t="s">
        <v>12</v>
      </c>
      <c r="M44" s="1" t="s">
        <v>12</v>
      </c>
      <c r="N44" s="1" t="s">
        <v>12</v>
      </c>
      <c r="O44" s="1" t="s">
        <v>12</v>
      </c>
    </row>
    <row r="45" spans="2:15">
      <c r="B45" t="s">
        <v>42</v>
      </c>
      <c r="G45" s="1" t="s">
        <v>63</v>
      </c>
      <c r="H45" s="1" t="s">
        <v>64</v>
      </c>
      <c r="I45" s="1" t="s">
        <v>65</v>
      </c>
      <c r="J45" s="1" t="s">
        <v>66</v>
      </c>
      <c r="K45" s="1" t="s">
        <v>67</v>
      </c>
      <c r="L45" s="1" t="s">
        <v>68</v>
      </c>
      <c r="M45" s="1" t="s">
        <v>69</v>
      </c>
      <c r="N45" s="1" t="s">
        <v>70</v>
      </c>
      <c r="O45" s="1" t="s">
        <v>71</v>
      </c>
    </row>
    <row r="46" spans="2:15">
      <c r="B46" t="s">
        <v>43</v>
      </c>
      <c r="G46" s="1" t="s">
        <v>63</v>
      </c>
      <c r="H46" s="1" t="s">
        <v>64</v>
      </c>
      <c r="I46" s="1" t="s">
        <v>65</v>
      </c>
      <c r="J46" s="1" t="s">
        <v>66</v>
      </c>
      <c r="K46" s="1" t="s">
        <v>67</v>
      </c>
      <c r="L46" s="1" t="s">
        <v>68</v>
      </c>
      <c r="M46" s="1" t="s">
        <v>69</v>
      </c>
      <c r="N46" s="1" t="s">
        <v>70</v>
      </c>
      <c r="O46" s="1" t="s">
        <v>71</v>
      </c>
    </row>
    <row r="47" spans="2:15">
      <c r="B47" t="s">
        <v>44</v>
      </c>
      <c r="G47" s="1" t="s">
        <v>63</v>
      </c>
      <c r="H47" s="1" t="s">
        <v>64</v>
      </c>
      <c r="I47" s="1" t="s">
        <v>65</v>
      </c>
      <c r="J47" s="1" t="s">
        <v>66</v>
      </c>
      <c r="K47" s="1" t="s">
        <v>67</v>
      </c>
      <c r="L47" s="1" t="s">
        <v>68</v>
      </c>
      <c r="M47" s="1" t="s">
        <v>69</v>
      </c>
      <c r="N47" s="1" t="s">
        <v>70</v>
      </c>
      <c r="O47" s="1" t="s">
        <v>71</v>
      </c>
    </row>
    <row r="48" spans="2:15">
      <c r="B48" t="s">
        <v>45</v>
      </c>
      <c r="G48" s="1" t="s">
        <v>66</v>
      </c>
      <c r="H48" s="1" t="s">
        <v>67</v>
      </c>
      <c r="I48" s="1" t="s">
        <v>68</v>
      </c>
      <c r="J48" s="1" t="s">
        <v>69</v>
      </c>
      <c r="K48" s="1" t="s">
        <v>70</v>
      </c>
      <c r="L48" s="1" t="s">
        <v>71</v>
      </c>
      <c r="M48" s="1" t="s">
        <v>12</v>
      </c>
      <c r="N48" s="1" t="s">
        <v>12</v>
      </c>
      <c r="O48" s="1" t="s">
        <v>12</v>
      </c>
    </row>
    <row r="49" spans="2:15">
      <c r="B49" t="s">
        <v>46</v>
      </c>
      <c r="G49" s="1" t="s">
        <v>63</v>
      </c>
      <c r="H49" s="1" t="s">
        <v>64</v>
      </c>
      <c r="I49" s="1" t="s">
        <v>65</v>
      </c>
      <c r="J49" s="1" t="s">
        <v>66</v>
      </c>
      <c r="K49" s="1" t="s">
        <v>67</v>
      </c>
      <c r="L49" s="1" t="s">
        <v>68</v>
      </c>
      <c r="M49" s="1" t="s">
        <v>69</v>
      </c>
      <c r="N49" s="1" t="s">
        <v>70</v>
      </c>
      <c r="O49" s="1" t="s">
        <v>71</v>
      </c>
    </row>
    <row r="50" spans="2:15">
      <c r="B50" t="s">
        <v>47</v>
      </c>
      <c r="G50" s="1" t="s">
        <v>63</v>
      </c>
      <c r="H50" s="1" t="s">
        <v>64</v>
      </c>
      <c r="I50" s="1" t="s">
        <v>65</v>
      </c>
      <c r="J50" s="1" t="s">
        <v>66</v>
      </c>
      <c r="K50" s="1" t="s">
        <v>67</v>
      </c>
      <c r="L50" s="1" t="s">
        <v>68</v>
      </c>
      <c r="M50" s="1" t="s">
        <v>69</v>
      </c>
      <c r="N50" s="1" t="s">
        <v>70</v>
      </c>
      <c r="O50" s="1" t="s">
        <v>71</v>
      </c>
    </row>
    <row r="51" spans="2:15">
      <c r="B51" t="s">
        <v>48</v>
      </c>
      <c r="G51" s="1" t="s">
        <v>60</v>
      </c>
      <c r="H51" s="1" t="s">
        <v>61</v>
      </c>
      <c r="I51" s="1" t="s">
        <v>56</v>
      </c>
      <c r="J51" s="1" t="s">
        <v>58</v>
      </c>
      <c r="K51" s="1" t="s">
        <v>62</v>
      </c>
      <c r="L51" s="1" t="s">
        <v>12</v>
      </c>
      <c r="M51" s="1" t="s">
        <v>12</v>
      </c>
      <c r="N51" s="1" t="s">
        <v>12</v>
      </c>
      <c r="O51" s="1" t="s">
        <v>12</v>
      </c>
    </row>
    <row r="52" spans="2:15">
      <c r="B52" t="s">
        <v>49</v>
      </c>
      <c r="G52" s="1" t="s">
        <v>61</v>
      </c>
      <c r="H52" s="1" t="s">
        <v>56</v>
      </c>
      <c r="I52" s="1" t="s">
        <v>58</v>
      </c>
      <c r="J52" s="1" t="s">
        <v>62</v>
      </c>
      <c r="K52" s="1" t="s">
        <v>12</v>
      </c>
      <c r="L52" s="1" t="s">
        <v>12</v>
      </c>
      <c r="M52" s="1" t="s">
        <v>12</v>
      </c>
      <c r="N52" s="1" t="s">
        <v>12</v>
      </c>
      <c r="O52" s="1" t="s">
        <v>12</v>
      </c>
    </row>
    <row r="53" spans="2:15">
      <c r="B53" t="s">
        <v>50</v>
      </c>
      <c r="G53" s="1" t="s">
        <v>61</v>
      </c>
      <c r="H53" s="1" t="s">
        <v>56</v>
      </c>
      <c r="I53" s="1" t="s">
        <v>58</v>
      </c>
      <c r="J53" s="1" t="s">
        <v>62</v>
      </c>
      <c r="K53" s="1" t="s">
        <v>12</v>
      </c>
      <c r="L53" s="1" t="s">
        <v>12</v>
      </c>
      <c r="M53" s="1" t="s">
        <v>12</v>
      </c>
      <c r="N53" s="1" t="s">
        <v>12</v>
      </c>
      <c r="O53" s="1" t="s">
        <v>12</v>
      </c>
    </row>
    <row r="54" spans="2:15">
      <c r="B54" t="s">
        <v>51</v>
      </c>
      <c r="G54" s="1" t="s">
        <v>56</v>
      </c>
      <c r="H54" s="1" t="s">
        <v>58</v>
      </c>
      <c r="I54" s="1" t="s">
        <v>62</v>
      </c>
      <c r="J54" s="1" t="s">
        <v>12</v>
      </c>
      <c r="K54" s="1" t="s">
        <v>12</v>
      </c>
      <c r="L54" s="1" t="s">
        <v>12</v>
      </c>
      <c r="M54" s="1" t="s">
        <v>12</v>
      </c>
      <c r="N54" s="1" t="s">
        <v>12</v>
      </c>
      <c r="O54" s="1" t="s">
        <v>12</v>
      </c>
    </row>
    <row r="55" spans="2:15">
      <c r="B55" t="s">
        <v>52</v>
      </c>
      <c r="G55" s="1" t="s">
        <v>56</v>
      </c>
      <c r="H55" s="1" t="s">
        <v>58</v>
      </c>
      <c r="I55" s="1" t="s">
        <v>62</v>
      </c>
      <c r="J55" s="1" t="s">
        <v>12</v>
      </c>
      <c r="K55" s="1" t="s">
        <v>12</v>
      </c>
      <c r="L55" s="1" t="s">
        <v>12</v>
      </c>
      <c r="M55" s="1" t="s">
        <v>12</v>
      </c>
      <c r="N55" s="1" t="s">
        <v>12</v>
      </c>
      <c r="O55" s="1" t="s">
        <v>12</v>
      </c>
    </row>
    <row r="56" spans="2:15">
      <c r="B56" t="s">
        <v>53</v>
      </c>
      <c r="G56" s="1" t="s">
        <v>56</v>
      </c>
      <c r="H56" s="1" t="s">
        <v>58</v>
      </c>
      <c r="I56" s="1" t="s">
        <v>62</v>
      </c>
      <c r="J56" s="1" t="s">
        <v>12</v>
      </c>
      <c r="K56" s="1" t="s">
        <v>12</v>
      </c>
      <c r="L56" s="1" t="s">
        <v>12</v>
      </c>
      <c r="M56" s="1" t="s">
        <v>12</v>
      </c>
      <c r="N56" s="1" t="s">
        <v>12</v>
      </c>
      <c r="O56" s="1" t="s">
        <v>12</v>
      </c>
    </row>
    <row r="57" spans="2:15">
      <c r="B57" t="s">
        <v>75</v>
      </c>
      <c r="G57" s="1" t="s">
        <v>55</v>
      </c>
      <c r="H57" s="1" t="s">
        <v>59</v>
      </c>
      <c r="I57" s="1" t="s">
        <v>56</v>
      </c>
      <c r="J57" s="1" t="s">
        <v>72</v>
      </c>
      <c r="K57" s="1" t="s">
        <v>58</v>
      </c>
      <c r="L57" s="1" t="s">
        <v>73</v>
      </c>
      <c r="M57" s="1" t="s">
        <v>74</v>
      </c>
      <c r="N57" s="1" t="s">
        <v>12</v>
      </c>
      <c r="O57" s="1" t="s">
        <v>12</v>
      </c>
    </row>
    <row r="58" spans="2:15">
      <c r="B58" t="s">
        <v>76</v>
      </c>
      <c r="G58" s="1" t="s">
        <v>55</v>
      </c>
      <c r="H58" s="1" t="s">
        <v>59</v>
      </c>
      <c r="I58" s="1" t="s">
        <v>56</v>
      </c>
      <c r="J58" s="1" t="s">
        <v>72</v>
      </c>
      <c r="K58" s="1" t="s">
        <v>58</v>
      </c>
      <c r="L58" s="1" t="s">
        <v>73</v>
      </c>
      <c r="M58" s="1" t="s">
        <v>74</v>
      </c>
      <c r="N58" s="1" t="s">
        <v>12</v>
      </c>
      <c r="O58" s="1" t="s">
        <v>12</v>
      </c>
    </row>
    <row r="59" spans="2:15">
      <c r="B59" t="s">
        <v>77</v>
      </c>
      <c r="G59" s="1" t="s">
        <v>55</v>
      </c>
      <c r="H59" s="1" t="s">
        <v>59</v>
      </c>
      <c r="I59" s="1" t="s">
        <v>56</v>
      </c>
      <c r="J59" s="1" t="s">
        <v>72</v>
      </c>
      <c r="K59" s="1" t="s">
        <v>58</v>
      </c>
      <c r="L59" s="1" t="s">
        <v>73</v>
      </c>
      <c r="M59" s="1" t="s">
        <v>74</v>
      </c>
      <c r="N59" s="1" t="s">
        <v>12</v>
      </c>
      <c r="O59" s="1" t="s">
        <v>12</v>
      </c>
    </row>
    <row r="60" spans="2:15">
      <c r="B60" t="s">
        <v>78</v>
      </c>
      <c r="G60" s="1" t="s">
        <v>59</v>
      </c>
      <c r="H60" s="1" t="s">
        <v>56</v>
      </c>
      <c r="I60" s="1" t="s">
        <v>72</v>
      </c>
      <c r="J60" s="1" t="s">
        <v>58</v>
      </c>
      <c r="K60" s="1" t="s">
        <v>73</v>
      </c>
      <c r="L60" s="1" t="s">
        <v>74</v>
      </c>
      <c r="M60" s="1" t="s">
        <v>12</v>
      </c>
      <c r="N60" s="1" t="s">
        <v>12</v>
      </c>
      <c r="O60" s="1" t="s">
        <v>12</v>
      </c>
    </row>
    <row r="61" spans="2:15">
      <c r="B61" t="s">
        <v>79</v>
      </c>
      <c r="G61" s="1" t="s">
        <v>55</v>
      </c>
      <c r="H61" s="1" t="s">
        <v>59</v>
      </c>
      <c r="I61" s="1" t="s">
        <v>56</v>
      </c>
      <c r="J61" s="1" t="s">
        <v>72</v>
      </c>
      <c r="K61" s="1" t="s">
        <v>58</v>
      </c>
      <c r="L61" s="1" t="s">
        <v>73</v>
      </c>
      <c r="M61" s="1" t="s">
        <v>74</v>
      </c>
      <c r="N61" s="1" t="s">
        <v>12</v>
      </c>
      <c r="O61" s="1" t="s">
        <v>12</v>
      </c>
    </row>
    <row r="62" spans="2:15">
      <c r="B62" t="s">
        <v>80</v>
      </c>
      <c r="G62" s="1" t="s">
        <v>55</v>
      </c>
      <c r="H62" s="1" t="s">
        <v>59</v>
      </c>
      <c r="I62" s="1" t="s">
        <v>56</v>
      </c>
      <c r="J62" s="1" t="s">
        <v>72</v>
      </c>
      <c r="K62" s="1" t="s">
        <v>58</v>
      </c>
      <c r="L62" s="1" t="s">
        <v>73</v>
      </c>
      <c r="M62" s="1" t="s">
        <v>74</v>
      </c>
      <c r="N62" s="1" t="s">
        <v>12</v>
      </c>
      <c r="O62" s="1" t="s">
        <v>12</v>
      </c>
    </row>
    <row r="63" spans="2:15" s="53" customFormat="1">
      <c r="B63" s="53" t="s">
        <v>192</v>
      </c>
      <c r="G63" s="1" t="s">
        <v>191</v>
      </c>
      <c r="H63" s="1" t="s">
        <v>12</v>
      </c>
      <c r="I63" s="1" t="s">
        <v>12</v>
      </c>
      <c r="J63" s="1" t="s">
        <v>12</v>
      </c>
      <c r="K63" s="1" t="s">
        <v>12</v>
      </c>
      <c r="L63" s="1" t="s">
        <v>12</v>
      </c>
      <c r="M63" s="1" t="s">
        <v>12</v>
      </c>
      <c r="N63" s="1" t="s">
        <v>12</v>
      </c>
      <c r="O63" s="1" t="s">
        <v>12</v>
      </c>
    </row>
    <row r="64" spans="2:15" s="53" customFormat="1">
      <c r="B64" s="53" t="s">
        <v>193</v>
      </c>
      <c r="G64" s="1" t="s">
        <v>191</v>
      </c>
      <c r="H64" s="1" t="s">
        <v>12</v>
      </c>
      <c r="I64" s="1" t="s">
        <v>12</v>
      </c>
      <c r="J64" s="1" t="s">
        <v>12</v>
      </c>
      <c r="K64" s="1" t="s">
        <v>12</v>
      </c>
      <c r="L64" s="1" t="s">
        <v>12</v>
      </c>
      <c r="M64" s="1" t="s">
        <v>12</v>
      </c>
      <c r="N64" s="1" t="s">
        <v>12</v>
      </c>
      <c r="O64" s="1" t="s">
        <v>12</v>
      </c>
    </row>
    <row r="65" spans="2:27" s="53" customFormat="1">
      <c r="B65" s="53" t="s">
        <v>194</v>
      </c>
      <c r="G65" s="1" t="s">
        <v>191</v>
      </c>
      <c r="H65" s="1" t="s">
        <v>12</v>
      </c>
      <c r="I65" s="1" t="s">
        <v>12</v>
      </c>
      <c r="J65" s="1" t="s">
        <v>12</v>
      </c>
      <c r="K65" s="1" t="s">
        <v>12</v>
      </c>
      <c r="L65" s="1" t="s">
        <v>12</v>
      </c>
      <c r="M65" s="1" t="s">
        <v>12</v>
      </c>
      <c r="N65" s="1" t="s">
        <v>12</v>
      </c>
      <c r="O65" s="1" t="s">
        <v>12</v>
      </c>
    </row>
    <row r="66" spans="2:27" s="53" customFormat="1">
      <c r="B66" s="53" t="s">
        <v>195</v>
      </c>
      <c r="G66" s="1" t="s">
        <v>191</v>
      </c>
      <c r="H66" s="1" t="s">
        <v>12</v>
      </c>
      <c r="I66" s="1" t="s">
        <v>12</v>
      </c>
      <c r="J66" s="1" t="s">
        <v>12</v>
      </c>
      <c r="K66" s="1" t="s">
        <v>12</v>
      </c>
      <c r="L66" s="1" t="s">
        <v>12</v>
      </c>
      <c r="M66" s="1" t="s">
        <v>12</v>
      </c>
      <c r="N66" s="1" t="s">
        <v>12</v>
      </c>
      <c r="O66" s="1" t="s">
        <v>12</v>
      </c>
    </row>
    <row r="67" spans="2:27" s="53" customFormat="1">
      <c r="B67" s="53" t="s">
        <v>196</v>
      </c>
      <c r="G67" s="1" t="s">
        <v>191</v>
      </c>
      <c r="H67" s="1" t="s">
        <v>12</v>
      </c>
      <c r="I67" s="1" t="s">
        <v>12</v>
      </c>
      <c r="J67" s="1" t="s">
        <v>12</v>
      </c>
      <c r="K67" s="1" t="s">
        <v>12</v>
      </c>
      <c r="L67" s="1" t="s">
        <v>12</v>
      </c>
      <c r="M67" s="1" t="s">
        <v>12</v>
      </c>
      <c r="N67" s="1" t="s">
        <v>12</v>
      </c>
      <c r="O67" s="1" t="s">
        <v>12</v>
      </c>
    </row>
    <row r="68" spans="2:27" s="53" customFormat="1">
      <c r="B68" s="53" t="s">
        <v>197</v>
      </c>
      <c r="G68" s="1" t="s">
        <v>191</v>
      </c>
      <c r="H68" s="1" t="s">
        <v>12</v>
      </c>
      <c r="I68" s="1" t="s">
        <v>12</v>
      </c>
      <c r="J68" s="1" t="s">
        <v>12</v>
      </c>
      <c r="K68" s="1" t="s">
        <v>12</v>
      </c>
      <c r="L68" s="1" t="s">
        <v>12</v>
      </c>
      <c r="M68" s="1" t="s">
        <v>12</v>
      </c>
      <c r="N68" s="1" t="s">
        <v>12</v>
      </c>
      <c r="O68" s="1" t="s">
        <v>12</v>
      </c>
    </row>
    <row r="70" spans="2:27">
      <c r="B70" t="s">
        <v>85</v>
      </c>
      <c r="C70" s="3">
        <f>+VLOOKUP(CONCATENATE(FecTypeA,":",FecOptionA,":",FecRateA),B70:G152,6,FALSE)</f>
        <v>0.75004577916132575</v>
      </c>
      <c r="D70" s="3">
        <f>+VLOOKUP(CONCATENATE(FecTypeB,":",FecOptionB,":",FecRateB),B70:G152,6,FALSE)</f>
        <v>0.75004577916132575</v>
      </c>
      <c r="E70" s="3">
        <f>+VLOOKUP(CONCATENATE(FecTypeC,":",FecOptionC,":",FecRateC),B70:G152,6,FALSE)</f>
        <v>0.82364769756686107</v>
      </c>
      <c r="F70" s="3">
        <f>+VLOOKUP(CONCATENATE(FecTypeD,":",FecOptionD,":",FecRateD),B70:G152,6,FALSE)</f>
        <v>0.82364769756686107</v>
      </c>
      <c r="G70" s="12">
        <v>0.5</v>
      </c>
      <c r="H70" s="5">
        <v>6.2</v>
      </c>
      <c r="I70" s="6" t="s">
        <v>110</v>
      </c>
      <c r="J70" s="6" t="s">
        <v>110</v>
      </c>
      <c r="K70" s="5">
        <v>8.74</v>
      </c>
      <c r="L70" s="49">
        <v>18.3</v>
      </c>
      <c r="M70" s="49">
        <v>11.1</v>
      </c>
      <c r="N70" s="49">
        <v>5.6</v>
      </c>
      <c r="O70" s="49">
        <v>2.8</v>
      </c>
      <c r="P70" s="49">
        <v>1.4</v>
      </c>
      <c r="Q70" s="49">
        <v>0.7</v>
      </c>
      <c r="R70" s="49">
        <v>0.3</v>
      </c>
      <c r="S70" s="49">
        <v>0.2</v>
      </c>
      <c r="T70" s="49">
        <v>0.1</v>
      </c>
      <c r="U70" s="49">
        <v>0.05</v>
      </c>
      <c r="V70" s="49">
        <v>0.05</v>
      </c>
      <c r="W70" s="49">
        <v>0.05</v>
      </c>
      <c r="X70" s="49">
        <v>0.05</v>
      </c>
      <c r="Y70" s="49">
        <v>0.05</v>
      </c>
      <c r="Z70" s="49">
        <v>0.05</v>
      </c>
      <c r="AA70" s="49">
        <v>0.05</v>
      </c>
    </row>
    <row r="71" spans="2:27">
      <c r="B71" t="s">
        <v>86</v>
      </c>
      <c r="C71">
        <f>+VLOOKUP(ModA,B3:M8,12,FALSE)</f>
        <v>4</v>
      </c>
      <c r="D71">
        <f>+VLOOKUP(ModB,B3:M8,12,FALSE)</f>
        <v>4</v>
      </c>
      <c r="E71" s="22">
        <f>+VLOOKUP(ModC,B3:M8,12,FALSE)</f>
        <v>4</v>
      </c>
      <c r="F71" s="22">
        <f>+VLOOKUP(ModD,B3:M8,12,FALSE)</f>
        <v>4</v>
      </c>
      <c r="G71" s="12">
        <v>0.75</v>
      </c>
      <c r="H71" s="7">
        <v>7.19</v>
      </c>
      <c r="I71" s="8" t="s">
        <v>110</v>
      </c>
      <c r="J71" s="8" t="s">
        <v>110</v>
      </c>
      <c r="K71" s="7">
        <v>10.84</v>
      </c>
      <c r="L71" s="49">
        <v>30.2</v>
      </c>
      <c r="M71" s="49">
        <v>18.100000000000001</v>
      </c>
      <c r="N71" s="49">
        <v>9.1</v>
      </c>
      <c r="O71" s="49">
        <v>4.5</v>
      </c>
      <c r="P71" s="49">
        <v>2.2999999999999998</v>
      </c>
      <c r="Q71" s="49">
        <v>1.1000000000000001</v>
      </c>
      <c r="R71" s="49">
        <v>0.6</v>
      </c>
      <c r="S71" s="49">
        <v>0.3</v>
      </c>
      <c r="T71" s="49">
        <v>0.2</v>
      </c>
      <c r="U71" s="49">
        <v>0.1</v>
      </c>
      <c r="V71" s="49">
        <v>0.05</v>
      </c>
      <c r="W71" s="49">
        <v>0.05</v>
      </c>
      <c r="X71" s="49">
        <v>0.05</v>
      </c>
      <c r="Y71" s="49">
        <v>0.05</v>
      </c>
      <c r="Z71" s="49">
        <v>0.05</v>
      </c>
      <c r="AA71" s="49">
        <v>0.05</v>
      </c>
    </row>
    <row r="72" spans="2:27">
      <c r="B72" t="s">
        <v>87</v>
      </c>
      <c r="C72">
        <f>+C70*C71</f>
        <v>3.000183116645303</v>
      </c>
      <c r="D72">
        <f>+D70*D71</f>
        <v>3.000183116645303</v>
      </c>
      <c r="E72" s="22">
        <f>+E70*E71</f>
        <v>3.2945907902674443</v>
      </c>
      <c r="F72" s="22">
        <f>+F70*F71</f>
        <v>3.2945907902674443</v>
      </c>
      <c r="G72" s="12">
        <v>0.83333333333333337</v>
      </c>
      <c r="H72" s="5">
        <v>7.82</v>
      </c>
      <c r="I72" s="6" t="s">
        <v>110</v>
      </c>
      <c r="J72" s="6" t="s">
        <v>110</v>
      </c>
      <c r="K72" s="5">
        <v>11.49</v>
      </c>
      <c r="L72" s="49">
        <v>30.9</v>
      </c>
      <c r="M72" s="49">
        <v>18.3</v>
      </c>
      <c r="N72" s="49">
        <v>9.1999999999999993</v>
      </c>
      <c r="O72" s="49">
        <v>4.5999999999999996</v>
      </c>
      <c r="P72" s="49">
        <v>2.2999999999999998</v>
      </c>
      <c r="Q72" s="49">
        <v>1.2</v>
      </c>
      <c r="R72" s="49">
        <v>0.6</v>
      </c>
      <c r="S72" s="49">
        <v>0.3</v>
      </c>
      <c r="T72" s="49">
        <v>0.2</v>
      </c>
      <c r="U72" s="49">
        <v>0.1</v>
      </c>
      <c r="V72" s="49">
        <v>0.05</v>
      </c>
      <c r="W72" s="49">
        <v>0.05</v>
      </c>
      <c r="X72" s="49">
        <v>0.05</v>
      </c>
      <c r="Y72" s="49">
        <v>0.05</v>
      </c>
      <c r="Z72" s="49">
        <v>0.05</v>
      </c>
      <c r="AA72" s="49">
        <v>0.05</v>
      </c>
    </row>
    <row r="73" spans="2:27">
      <c r="B73" t="s">
        <v>88</v>
      </c>
      <c r="C73">
        <f>+VLOOKUP(ModA,B3:M8,11,FALSE)</f>
        <v>3</v>
      </c>
      <c r="D73">
        <f>+VLOOKUP(ModB,B3:M8,11,FALSE)</f>
        <v>3</v>
      </c>
      <c r="E73" s="22">
        <f>+VLOOKUP(ModC,B3:M8,11,FALSE)</f>
        <v>3</v>
      </c>
      <c r="F73" s="22">
        <f>+VLOOKUP(ModD,B3:M8,11,FALSE)</f>
        <v>3</v>
      </c>
      <c r="G73" s="12">
        <v>0.875</v>
      </c>
      <c r="H73" s="5">
        <v>8.2200000000000006</v>
      </c>
      <c r="I73" s="6" t="s">
        <v>110</v>
      </c>
      <c r="J73" s="6" t="s">
        <v>110</v>
      </c>
      <c r="K73" s="5">
        <v>11.96</v>
      </c>
      <c r="L73" s="49">
        <v>31.1</v>
      </c>
      <c r="M73" s="49">
        <v>18.600000000000001</v>
      </c>
      <c r="N73" s="49">
        <v>9.1999999999999993</v>
      </c>
      <c r="O73" s="49">
        <v>4.7</v>
      </c>
      <c r="P73" s="49">
        <v>2.2999999999999998</v>
      </c>
      <c r="Q73" s="49">
        <v>1.2</v>
      </c>
      <c r="R73" s="49">
        <v>0.6</v>
      </c>
      <c r="S73" s="49">
        <v>0.3</v>
      </c>
      <c r="T73" s="49">
        <v>0.2</v>
      </c>
      <c r="U73" s="49">
        <v>0.1</v>
      </c>
      <c r="V73" s="49">
        <v>0.05</v>
      </c>
      <c r="W73" s="49">
        <v>0.05</v>
      </c>
      <c r="X73" s="49">
        <v>0.05</v>
      </c>
      <c r="Y73" s="49">
        <v>0.05</v>
      </c>
      <c r="Z73" s="49">
        <v>0.05</v>
      </c>
      <c r="AA73" s="49">
        <v>0.05</v>
      </c>
    </row>
    <row r="74" spans="2:27">
      <c r="B74" s="22" t="s">
        <v>175</v>
      </c>
      <c r="C74">
        <f>+VLOOKUP(CONCATENATE(FecTypeA,":",FecOptionA,":",FecRateA),B70:K152,7+C73,FALSE)</f>
        <v>5.87</v>
      </c>
      <c r="D74">
        <f>+VLOOKUP(CONCATENATE(FecTypeB,":",FecOptionB,":",FecRateB),B70:K152,7+D73,FALSE)</f>
        <v>5.87</v>
      </c>
      <c r="E74" s="22">
        <f>+VLOOKUP(CONCATENATE(FecTypeC,":",FecOptionC,":",FecRateC),B70:K152,7+E73,FALSE)</f>
        <v>6.68</v>
      </c>
      <c r="F74" s="22">
        <f>+VLOOKUP(CONCATENATE(FecTypeD,":",FecOptionD,":",FecRateD),B70:K152,7+F73,FALSE)</f>
        <v>6.68</v>
      </c>
      <c r="G74" s="12">
        <v>0.45876288659793812</v>
      </c>
      <c r="H74" s="5">
        <v>3.08</v>
      </c>
      <c r="I74" s="6" t="s">
        <v>110</v>
      </c>
      <c r="J74" s="6" t="s">
        <v>110</v>
      </c>
      <c r="K74" s="5">
        <v>5.97</v>
      </c>
      <c r="L74" s="49">
        <v>410.1</v>
      </c>
      <c r="M74" s="49">
        <v>246.1</v>
      </c>
      <c r="N74" s="49">
        <v>123.1</v>
      </c>
      <c r="O74" s="49">
        <v>61.5</v>
      </c>
      <c r="P74" s="49">
        <v>30.8</v>
      </c>
      <c r="Q74" s="49">
        <v>15.4</v>
      </c>
      <c r="R74" s="49">
        <v>7.7</v>
      </c>
      <c r="S74" s="49">
        <v>3.9</v>
      </c>
      <c r="T74" s="49">
        <v>4.5</v>
      </c>
      <c r="U74" s="49">
        <v>3.4</v>
      </c>
      <c r="V74" s="49">
        <v>2.2000000000000002</v>
      </c>
      <c r="W74" s="49">
        <v>1.7</v>
      </c>
      <c r="X74" s="49">
        <v>1</v>
      </c>
      <c r="Y74" s="49">
        <v>0.7</v>
      </c>
      <c r="Z74" s="49">
        <v>0.6</v>
      </c>
      <c r="AA74" s="49">
        <v>0.6</v>
      </c>
    </row>
    <row r="75" spans="2:27">
      <c r="B75" s="22" t="s">
        <v>176</v>
      </c>
      <c r="C75">
        <f>INDEX(K154:AB154,1,C154)</f>
        <v>2048</v>
      </c>
      <c r="E75" s="22">
        <f>INDEX(K154:AB154,1,E154)</f>
        <v>2048</v>
      </c>
      <c r="G75" s="12">
        <v>0.68814432989690721</v>
      </c>
      <c r="H75" s="7">
        <v>4.2</v>
      </c>
      <c r="I75" s="8" t="s">
        <v>110</v>
      </c>
      <c r="J75" s="8" t="s">
        <v>110</v>
      </c>
      <c r="K75" s="7">
        <v>7.72</v>
      </c>
      <c r="L75" s="49">
        <v>419.2</v>
      </c>
      <c r="M75" s="49">
        <v>251.5</v>
      </c>
      <c r="N75" s="49">
        <v>125.7</v>
      </c>
      <c r="O75" s="49">
        <v>62.9</v>
      </c>
      <c r="P75" s="49">
        <v>31.4</v>
      </c>
      <c r="Q75" s="49">
        <v>15.7</v>
      </c>
      <c r="R75" s="49">
        <v>7.9</v>
      </c>
      <c r="S75" s="49">
        <v>4</v>
      </c>
      <c r="T75" s="49">
        <v>4.5999999999999996</v>
      </c>
      <c r="U75" s="49">
        <v>3.4</v>
      </c>
      <c r="V75" s="49">
        <v>2.2000000000000002</v>
      </c>
      <c r="W75" s="49">
        <v>1.7</v>
      </c>
      <c r="X75" s="49">
        <v>1</v>
      </c>
      <c r="Y75" s="49">
        <v>0.8</v>
      </c>
      <c r="Z75" s="49">
        <v>0.6</v>
      </c>
      <c r="AA75" s="49">
        <v>0.6</v>
      </c>
    </row>
    <row r="76" spans="2:27">
      <c r="B76" s="22" t="s">
        <v>177</v>
      </c>
      <c r="C76">
        <f>INDEX(K154:AB154,1,C154+1)</f>
        <v>3152</v>
      </c>
      <c r="E76" s="22">
        <f>INDEX(K154:AB154,1,E154+1)</f>
        <v>3152</v>
      </c>
      <c r="G76" s="12">
        <v>0.65249266862170086</v>
      </c>
      <c r="H76" s="5">
        <v>4.95</v>
      </c>
      <c r="I76" s="6" t="s">
        <v>110</v>
      </c>
      <c r="J76" s="6" t="s">
        <v>110</v>
      </c>
      <c r="K76" s="5">
        <v>8.64</v>
      </c>
      <c r="L76" s="49">
        <v>419.6</v>
      </c>
      <c r="M76" s="49">
        <v>251.8</v>
      </c>
      <c r="N76" s="49">
        <v>125.8</v>
      </c>
      <c r="O76" s="49">
        <v>63</v>
      </c>
      <c r="P76" s="49">
        <v>31.5</v>
      </c>
      <c r="Q76" s="49">
        <v>15.8</v>
      </c>
      <c r="R76" s="49">
        <v>7.9</v>
      </c>
      <c r="S76" s="49">
        <v>4</v>
      </c>
      <c r="T76" s="49">
        <v>4.5999999999999996</v>
      </c>
      <c r="U76" s="49">
        <v>3.4</v>
      </c>
      <c r="V76" s="49">
        <v>2.2000000000000002</v>
      </c>
      <c r="W76" s="49">
        <v>1.7</v>
      </c>
      <c r="X76" s="49">
        <v>1</v>
      </c>
      <c r="Y76" s="49">
        <v>0.8</v>
      </c>
      <c r="Z76" s="49">
        <v>0.6</v>
      </c>
      <c r="AA76" s="49">
        <v>0.6</v>
      </c>
    </row>
    <row r="77" spans="2:27">
      <c r="B77" s="22" t="s">
        <v>178</v>
      </c>
      <c r="C77">
        <f>+VLOOKUP(CONCATENATE(FecTypeA,":",FecOptionA,":",FecRateA),B70:AA152,9+C154,FALSE)</f>
        <v>13.8</v>
      </c>
      <c r="D77">
        <f>+VLOOKUP(CONCATENATE(FecTypeB,":",FecOptionB,":",FecRateB),B70:AA152,9+C154,FALSE)</f>
        <v>13.8</v>
      </c>
      <c r="E77" s="22">
        <f>+VLOOKUP(CONCATENATE(FecTypeC,":",FecOptionC,":",FecRateC),B70:AA152,9+E154,FALSE)</f>
        <v>13.2</v>
      </c>
      <c r="F77" s="22">
        <f>+VLOOKUP(CONCATENATE(FecTypeD,":",FecOptionD,":",FecRateD),B70:AA152,9+E154,FALSE)</f>
        <v>13.2</v>
      </c>
      <c r="G77" s="12">
        <v>0.80283505154639179</v>
      </c>
      <c r="H77" s="5">
        <v>5.52</v>
      </c>
      <c r="I77" s="6" t="s">
        <v>110</v>
      </c>
      <c r="J77" s="6" t="s">
        <v>110</v>
      </c>
      <c r="K77" s="5">
        <v>9.1300000000000008</v>
      </c>
      <c r="L77" s="49">
        <v>420</v>
      </c>
      <c r="M77" s="49">
        <v>251.9</v>
      </c>
      <c r="N77" s="49">
        <v>126</v>
      </c>
      <c r="O77" s="49">
        <v>63</v>
      </c>
      <c r="P77" s="49">
        <v>31.5</v>
      </c>
      <c r="Q77" s="49">
        <v>15.8</v>
      </c>
      <c r="R77" s="49">
        <v>7.9</v>
      </c>
      <c r="S77" s="49">
        <v>4</v>
      </c>
      <c r="T77" s="49">
        <v>4.5999999999999996</v>
      </c>
      <c r="U77" s="49">
        <v>3.4</v>
      </c>
      <c r="V77" s="49">
        <v>2.2000000000000002</v>
      </c>
      <c r="W77" s="49">
        <v>1.7</v>
      </c>
      <c r="X77" s="49">
        <v>1</v>
      </c>
      <c r="Y77" s="49">
        <v>0.8</v>
      </c>
      <c r="Z77" s="49">
        <v>0.6</v>
      </c>
      <c r="AA77" s="49">
        <v>0.6</v>
      </c>
    </row>
    <row r="78" spans="2:27">
      <c r="B78" s="22" t="s">
        <v>179</v>
      </c>
      <c r="C78">
        <f>+VLOOKUP(CONCATENATE(FecTypeA,":",FecOptionA,":",FecRateA),B70:AA152,10+C154,FALSE)</f>
        <v>10.3</v>
      </c>
      <c r="D78">
        <f>+VLOOKUP(CONCATENATE(FecTypeB,":",FecOptionB,":",FecRateB),B70:AA152,10+C154,FALSE)</f>
        <v>10.3</v>
      </c>
      <c r="E78" s="22">
        <f>+VLOOKUP(CONCATENATE(FecTypeC,":",FecOptionC,":",FecRateC),B70:AA152,10+E154,FALSE)</f>
        <v>9.9</v>
      </c>
      <c r="F78" s="22">
        <f>+VLOOKUP(CONCATENATE(FecTypeD,":",FecOptionD,":",FecRateD),B70:AA152,10+E154,FALSE)</f>
        <v>9.9</v>
      </c>
      <c r="G78" s="12">
        <v>0.4589041095890411</v>
      </c>
      <c r="H78" s="5">
        <v>3.04</v>
      </c>
      <c r="I78" s="6" t="s">
        <v>110</v>
      </c>
      <c r="J78" s="6" t="s">
        <v>110</v>
      </c>
      <c r="K78" s="5" t="s">
        <v>111</v>
      </c>
      <c r="L78" s="49">
        <v>706.9</v>
      </c>
      <c r="M78" s="49">
        <v>424.3</v>
      </c>
      <c r="N78" s="49">
        <v>212.1</v>
      </c>
      <c r="O78" s="49">
        <v>106.1</v>
      </c>
      <c r="P78" s="49">
        <v>53.1</v>
      </c>
      <c r="Q78" s="49">
        <v>26.5</v>
      </c>
      <c r="R78" s="49">
        <v>13.3</v>
      </c>
      <c r="S78" s="49">
        <v>6.7</v>
      </c>
      <c r="T78" s="49">
        <v>4.4000000000000004</v>
      </c>
      <c r="U78" s="49">
        <v>3.3</v>
      </c>
      <c r="V78" s="49">
        <v>2.2000000000000002</v>
      </c>
      <c r="W78" s="49">
        <v>1.7</v>
      </c>
      <c r="X78" s="49">
        <v>1.1000000000000001</v>
      </c>
      <c r="Y78" s="49">
        <v>0.8</v>
      </c>
      <c r="Z78" s="49">
        <v>0.7</v>
      </c>
      <c r="AA78" s="49">
        <v>0.7</v>
      </c>
    </row>
    <row r="79" spans="2:27">
      <c r="B79" s="22" t="s">
        <v>180</v>
      </c>
      <c r="C79" s="59">
        <f>+C77+(C78-C77)*(DataRateO-C75)/(C76-C75)</f>
        <v>13.8</v>
      </c>
      <c r="D79" s="59">
        <f>+D77+(D78-D77)*(DataRateO-C75)/(C76-C75)</f>
        <v>13.8</v>
      </c>
      <c r="E79" s="59">
        <f>+E77+(E78-E77)*(DataRateI-E75)/(E76-E75)</f>
        <v>13.2</v>
      </c>
      <c r="F79" s="59">
        <f>+F77+(F78-F77)*(DataRateI-E75)/(E76-E75)</f>
        <v>13.2</v>
      </c>
      <c r="G79" s="12">
        <v>0.68835616438356162</v>
      </c>
      <c r="H79" s="7">
        <v>4.16</v>
      </c>
      <c r="I79" s="8" t="s">
        <v>110</v>
      </c>
      <c r="J79" s="8" t="s">
        <v>110</v>
      </c>
      <c r="K79" s="7" t="s">
        <v>111</v>
      </c>
      <c r="L79" s="49">
        <v>718.3</v>
      </c>
      <c r="M79" s="49">
        <v>431</v>
      </c>
      <c r="N79" s="49">
        <v>215.5</v>
      </c>
      <c r="O79" s="49">
        <v>107.8</v>
      </c>
      <c r="P79" s="49">
        <v>53.9</v>
      </c>
      <c r="Q79" s="49">
        <v>27</v>
      </c>
      <c r="R79" s="49">
        <v>13.5</v>
      </c>
      <c r="S79" s="49">
        <v>6.8</v>
      </c>
      <c r="T79" s="49">
        <v>4.5</v>
      </c>
      <c r="U79" s="49">
        <v>3.4</v>
      </c>
      <c r="V79" s="49">
        <v>2.2000000000000002</v>
      </c>
      <c r="W79" s="49">
        <v>1.7</v>
      </c>
      <c r="X79" s="49">
        <v>1.1000000000000001</v>
      </c>
      <c r="Y79" s="49">
        <v>0.8</v>
      </c>
      <c r="Z79" s="49">
        <v>0.7</v>
      </c>
      <c r="AA79" s="49">
        <v>0.7</v>
      </c>
    </row>
    <row r="80" spans="2:27">
      <c r="B80" s="22" t="s">
        <v>181</v>
      </c>
      <c r="G80" s="12">
        <v>0.76484018264840181</v>
      </c>
      <c r="H80" s="5">
        <v>4.8899999999999997</v>
      </c>
      <c r="I80" s="6" t="s">
        <v>110</v>
      </c>
      <c r="J80" s="6" t="s">
        <v>110</v>
      </c>
      <c r="K80" s="5" t="s">
        <v>111</v>
      </c>
      <c r="L80" s="49">
        <v>718.8</v>
      </c>
      <c r="M80" s="49">
        <v>431.2</v>
      </c>
      <c r="N80" s="49">
        <v>215.6</v>
      </c>
      <c r="O80" s="49">
        <v>107.8</v>
      </c>
      <c r="P80" s="49">
        <v>53.9</v>
      </c>
      <c r="Q80" s="49">
        <v>27</v>
      </c>
      <c r="R80" s="49">
        <v>13.5</v>
      </c>
      <c r="S80" s="49">
        <v>6.8</v>
      </c>
      <c r="T80" s="49">
        <v>4.5</v>
      </c>
      <c r="U80" s="49">
        <v>3.4</v>
      </c>
      <c r="V80" s="49">
        <v>2.2000000000000002</v>
      </c>
      <c r="W80" s="49">
        <v>1.7</v>
      </c>
      <c r="X80" s="49">
        <v>1.1000000000000001</v>
      </c>
      <c r="Y80" s="49">
        <v>0.8</v>
      </c>
      <c r="Z80" s="49">
        <v>0.7</v>
      </c>
      <c r="AA80" s="49">
        <v>0.7</v>
      </c>
    </row>
    <row r="81" spans="2:27">
      <c r="B81" s="22" t="s">
        <v>182</v>
      </c>
      <c r="G81" s="12">
        <v>0.80136986301369861</v>
      </c>
      <c r="H81" s="5">
        <v>5.43</v>
      </c>
      <c r="I81" s="6" t="s">
        <v>110</v>
      </c>
      <c r="J81" s="6" t="s">
        <v>110</v>
      </c>
      <c r="K81" s="5" t="s">
        <v>111</v>
      </c>
      <c r="L81" s="49">
        <v>719.1</v>
      </c>
      <c r="M81" s="49">
        <v>431.4</v>
      </c>
      <c r="N81" s="49">
        <v>215.7</v>
      </c>
      <c r="O81" s="49">
        <v>107.8</v>
      </c>
      <c r="P81" s="49">
        <v>53.9</v>
      </c>
      <c r="Q81" s="49">
        <v>27</v>
      </c>
      <c r="R81" s="49">
        <v>13.5</v>
      </c>
      <c r="S81" s="49">
        <v>6.8</v>
      </c>
      <c r="T81" s="49">
        <v>4.5</v>
      </c>
      <c r="U81" s="49">
        <v>3.4</v>
      </c>
      <c r="V81" s="49">
        <v>2.2000000000000002</v>
      </c>
      <c r="W81" s="49">
        <v>1.7</v>
      </c>
      <c r="X81" s="49">
        <v>1.1000000000000001</v>
      </c>
      <c r="Y81" s="49">
        <v>0.8</v>
      </c>
      <c r="Z81" s="49">
        <v>0.7</v>
      </c>
      <c r="AA81" s="49">
        <v>0.7</v>
      </c>
    </row>
    <row r="82" spans="2:27">
      <c r="B82" t="s">
        <v>89</v>
      </c>
      <c r="G82" s="12">
        <v>0.45454545454545453</v>
      </c>
      <c r="H82" s="5">
        <v>2.95</v>
      </c>
      <c r="I82" s="6" t="s">
        <v>110</v>
      </c>
      <c r="J82" s="6" t="s">
        <v>110</v>
      </c>
      <c r="K82" s="5">
        <v>5.56</v>
      </c>
      <c r="L82" s="49">
        <v>703.5</v>
      </c>
      <c r="M82" s="49">
        <v>422.2</v>
      </c>
      <c r="N82" s="49">
        <v>211.1</v>
      </c>
      <c r="O82" s="49">
        <v>105.5</v>
      </c>
      <c r="P82" s="49">
        <v>52.8</v>
      </c>
      <c r="Q82" s="49">
        <v>26.4</v>
      </c>
      <c r="R82" s="49">
        <v>13.2</v>
      </c>
      <c r="S82" s="49">
        <v>6.6</v>
      </c>
      <c r="T82" s="49">
        <v>4.4000000000000004</v>
      </c>
      <c r="U82" s="49">
        <v>3.3</v>
      </c>
      <c r="V82" s="49">
        <v>2.2000000000000002</v>
      </c>
      <c r="W82" s="49">
        <v>1.7</v>
      </c>
      <c r="X82" s="49">
        <v>1.1000000000000001</v>
      </c>
      <c r="Y82" s="49">
        <v>0.8</v>
      </c>
      <c r="Z82" s="49">
        <v>0.7</v>
      </c>
      <c r="AA82" s="49">
        <v>0.7</v>
      </c>
    </row>
    <row r="83" spans="2:27">
      <c r="B83" t="s">
        <v>90</v>
      </c>
      <c r="G83" s="12">
        <v>0.68181818181818177</v>
      </c>
      <c r="H83" s="7">
        <v>4.08</v>
      </c>
      <c r="I83" s="8" t="s">
        <v>110</v>
      </c>
      <c r="J83" s="8" t="s">
        <v>110</v>
      </c>
      <c r="K83" s="7">
        <v>7.36</v>
      </c>
      <c r="L83" s="49">
        <v>714.4</v>
      </c>
      <c r="M83" s="49">
        <v>428.7</v>
      </c>
      <c r="N83" s="49">
        <v>214.4</v>
      </c>
      <c r="O83" s="49">
        <v>107.2</v>
      </c>
      <c r="P83" s="49">
        <v>53.6</v>
      </c>
      <c r="Q83" s="49">
        <v>26.8</v>
      </c>
      <c r="R83" s="49">
        <v>13.4</v>
      </c>
      <c r="S83" s="49">
        <v>6.7</v>
      </c>
      <c r="T83" s="49">
        <v>4.5</v>
      </c>
      <c r="U83" s="49">
        <v>3.4</v>
      </c>
      <c r="V83" s="49">
        <v>2.2000000000000002</v>
      </c>
      <c r="W83" s="49">
        <v>1.7</v>
      </c>
      <c r="X83" s="49">
        <v>1.1000000000000001</v>
      </c>
      <c r="Y83" s="49">
        <v>0.8</v>
      </c>
      <c r="Z83" s="49">
        <v>0.7</v>
      </c>
      <c r="AA83" s="49">
        <v>0.7</v>
      </c>
    </row>
    <row r="84" spans="2:27">
      <c r="B84" t="s">
        <v>91</v>
      </c>
      <c r="G84" s="12">
        <v>0.75757575757575757</v>
      </c>
      <c r="H84" s="5">
        <v>4.8</v>
      </c>
      <c r="I84" s="6" t="s">
        <v>110</v>
      </c>
      <c r="J84" s="6" t="s">
        <v>110</v>
      </c>
      <c r="K84" s="5">
        <v>8.26</v>
      </c>
      <c r="L84" s="49">
        <v>715.1</v>
      </c>
      <c r="M84" s="49">
        <v>429</v>
      </c>
      <c r="N84" s="49">
        <v>214.5</v>
      </c>
      <c r="O84" s="49">
        <v>107.3</v>
      </c>
      <c r="P84" s="49">
        <v>53.7</v>
      </c>
      <c r="Q84" s="49">
        <v>26.8</v>
      </c>
      <c r="R84" s="49">
        <v>13.4</v>
      </c>
      <c r="S84" s="49">
        <v>6.7</v>
      </c>
      <c r="T84" s="49">
        <v>4.5</v>
      </c>
      <c r="U84" s="49">
        <v>3.4</v>
      </c>
      <c r="V84" s="49">
        <v>2.2000000000000002</v>
      </c>
      <c r="W84" s="49">
        <v>1.7</v>
      </c>
      <c r="X84" s="49">
        <v>1.1000000000000001</v>
      </c>
      <c r="Y84" s="49">
        <v>0.8</v>
      </c>
      <c r="Z84" s="49">
        <v>0.7</v>
      </c>
      <c r="AA84" s="49">
        <v>0.7</v>
      </c>
    </row>
    <row r="85" spans="2:27">
      <c r="B85" t="s">
        <v>92</v>
      </c>
      <c r="G85" s="12">
        <v>0.79545454545454541</v>
      </c>
      <c r="H85" s="5">
        <v>5.33</v>
      </c>
      <c r="I85" s="6" t="s">
        <v>110</v>
      </c>
      <c r="J85" s="6" t="s">
        <v>110</v>
      </c>
      <c r="K85" s="5">
        <v>8.92</v>
      </c>
      <c r="L85" s="49">
        <v>715.2</v>
      </c>
      <c r="M85" s="49">
        <v>429.2</v>
      </c>
      <c r="N85" s="49">
        <v>214.6</v>
      </c>
      <c r="O85" s="49">
        <v>107.4</v>
      </c>
      <c r="P85" s="49">
        <v>53.7</v>
      </c>
      <c r="Q85" s="49">
        <v>26.9</v>
      </c>
      <c r="R85" s="49">
        <v>13.4</v>
      </c>
      <c r="S85" s="49">
        <v>6.7</v>
      </c>
      <c r="T85" s="49">
        <v>4.5</v>
      </c>
      <c r="U85" s="49">
        <v>3.4</v>
      </c>
      <c r="V85" s="49">
        <v>2.2000000000000002</v>
      </c>
      <c r="W85" s="49">
        <v>1.7</v>
      </c>
      <c r="X85" s="49">
        <v>1.1000000000000001</v>
      </c>
      <c r="Y85" s="49">
        <v>0.8</v>
      </c>
      <c r="Z85" s="49">
        <v>0.7</v>
      </c>
      <c r="AA85" s="49">
        <v>0.7</v>
      </c>
    </row>
    <row r="86" spans="2:27">
      <c r="B86" t="s">
        <v>93</v>
      </c>
      <c r="G86" s="12">
        <v>0.66666666666666663</v>
      </c>
      <c r="H86" s="6" t="s">
        <v>110</v>
      </c>
      <c r="I86" s="5">
        <v>9.4</v>
      </c>
      <c r="J86" s="6" t="s">
        <v>110</v>
      </c>
      <c r="K86" s="6" t="s">
        <v>110</v>
      </c>
      <c r="L86" s="49">
        <v>50.3</v>
      </c>
      <c r="M86" s="49">
        <v>30.2</v>
      </c>
      <c r="N86" s="49">
        <v>15.1</v>
      </c>
      <c r="O86" s="49">
        <v>7.5</v>
      </c>
      <c r="P86" s="49">
        <v>3.8</v>
      </c>
      <c r="Q86" s="49">
        <v>1.9</v>
      </c>
      <c r="R86" s="49">
        <v>0.9</v>
      </c>
      <c r="S86" s="49">
        <v>0.5</v>
      </c>
      <c r="T86" s="49">
        <v>0.3</v>
      </c>
      <c r="U86" s="49">
        <v>0.2</v>
      </c>
      <c r="V86" s="49">
        <v>0.2</v>
      </c>
      <c r="W86" s="49">
        <v>0.1</v>
      </c>
      <c r="X86" s="49">
        <v>0.05</v>
      </c>
      <c r="Y86" s="49">
        <v>0.05</v>
      </c>
      <c r="Z86" s="49">
        <v>0.05</v>
      </c>
      <c r="AA86" s="49">
        <v>0.05</v>
      </c>
    </row>
    <row r="87" spans="2:27">
      <c r="B87" s="22" t="s">
        <v>183</v>
      </c>
      <c r="G87" s="12">
        <v>0.61187214611872143</v>
      </c>
      <c r="H87" s="6" t="s">
        <v>110</v>
      </c>
      <c r="I87" s="5">
        <v>5.41</v>
      </c>
      <c r="J87" s="6" t="s">
        <v>110</v>
      </c>
      <c r="K87" s="6" t="s">
        <v>110</v>
      </c>
      <c r="L87" s="49">
        <v>736.9</v>
      </c>
      <c r="M87" s="49">
        <v>442.3</v>
      </c>
      <c r="N87" s="49">
        <v>221.2</v>
      </c>
      <c r="O87" s="49">
        <v>110.6</v>
      </c>
      <c r="P87" s="49">
        <v>55.3</v>
      </c>
      <c r="Q87" s="49">
        <v>27.7</v>
      </c>
      <c r="R87" s="49">
        <v>13.8</v>
      </c>
      <c r="S87" s="49">
        <v>6.9</v>
      </c>
      <c r="T87" s="49">
        <v>8.9</v>
      </c>
      <c r="U87" s="49">
        <v>6.7</v>
      </c>
      <c r="V87" s="49">
        <v>4.4000000000000004</v>
      </c>
      <c r="W87" s="49">
        <v>3.4</v>
      </c>
      <c r="X87" s="49">
        <v>2.2000000000000002</v>
      </c>
      <c r="Y87" s="49">
        <v>1.7</v>
      </c>
      <c r="Z87" s="49">
        <v>1.4</v>
      </c>
      <c r="AA87" s="49">
        <v>1.4</v>
      </c>
    </row>
    <row r="88" spans="2:27">
      <c r="B88" t="s">
        <v>94</v>
      </c>
      <c r="G88" s="12">
        <v>0.60606060606060608</v>
      </c>
      <c r="H88" s="6" t="s">
        <v>110</v>
      </c>
      <c r="I88" s="5">
        <v>5.68</v>
      </c>
      <c r="J88" s="6" t="s">
        <v>110</v>
      </c>
      <c r="K88" s="6" t="s">
        <v>110</v>
      </c>
      <c r="L88" s="49">
        <v>733.4</v>
      </c>
      <c r="M88" s="49">
        <v>440</v>
      </c>
      <c r="N88" s="49">
        <v>220</v>
      </c>
      <c r="O88" s="49">
        <v>110</v>
      </c>
      <c r="P88" s="49">
        <v>55</v>
      </c>
      <c r="Q88" s="49">
        <v>27.5</v>
      </c>
      <c r="R88" s="49">
        <v>13.8</v>
      </c>
      <c r="S88" s="49">
        <v>6.9</v>
      </c>
      <c r="T88" s="49">
        <v>4.5999999999999996</v>
      </c>
      <c r="U88" s="49">
        <v>3.5</v>
      </c>
      <c r="V88" s="49">
        <v>2.2999999999999998</v>
      </c>
      <c r="W88" s="49">
        <v>1.8</v>
      </c>
      <c r="X88" s="49">
        <v>1.1000000000000001</v>
      </c>
      <c r="Y88" s="49">
        <v>0.9</v>
      </c>
      <c r="Z88" s="49">
        <v>0.7</v>
      </c>
      <c r="AA88" s="49">
        <v>0.7</v>
      </c>
    </row>
    <row r="89" spans="2:27">
      <c r="B89" t="s">
        <v>95</v>
      </c>
      <c r="G89" s="12">
        <v>0.45274725274725275</v>
      </c>
      <c r="H89" s="5">
        <v>1.73</v>
      </c>
      <c r="I89" s="6" t="s">
        <v>110</v>
      </c>
      <c r="J89" s="5">
        <v>3.4</v>
      </c>
      <c r="K89" s="5">
        <v>4.9800000000000004</v>
      </c>
      <c r="L89" s="49">
        <v>1034.2</v>
      </c>
      <c r="M89" s="49">
        <v>620.79999999999995</v>
      </c>
      <c r="N89" s="49">
        <v>310.60000000000002</v>
      </c>
      <c r="O89" s="49">
        <v>155.6</v>
      </c>
      <c r="P89" s="49">
        <v>78.099999999999994</v>
      </c>
      <c r="Q89" s="49">
        <v>39.299999999999997</v>
      </c>
      <c r="R89" s="49">
        <v>19.899999999999999</v>
      </c>
      <c r="S89" s="49">
        <v>10.3</v>
      </c>
      <c r="T89" s="49">
        <v>7</v>
      </c>
      <c r="U89" s="49">
        <v>5.4</v>
      </c>
      <c r="V89" s="49">
        <v>3.7</v>
      </c>
      <c r="W89" s="49">
        <v>3</v>
      </c>
      <c r="X89" s="49">
        <v>2.1</v>
      </c>
      <c r="Y89" s="49">
        <v>1.7</v>
      </c>
      <c r="Z89" s="49">
        <v>1.6</v>
      </c>
      <c r="AA89" s="49">
        <v>1.6</v>
      </c>
    </row>
    <row r="90" spans="2:27">
      <c r="B90" t="s">
        <v>96</v>
      </c>
      <c r="G90" s="12">
        <v>0.49954710144927539</v>
      </c>
      <c r="H90" s="5">
        <v>2.27</v>
      </c>
      <c r="I90" s="6" t="s">
        <v>110</v>
      </c>
      <c r="J90" s="5">
        <v>4.12</v>
      </c>
      <c r="K90" s="5">
        <v>5.0599999999999996</v>
      </c>
      <c r="L90" s="49">
        <v>599.20000000000005</v>
      </c>
      <c r="M90" s="49">
        <v>359.8</v>
      </c>
      <c r="N90" s="49">
        <v>180.2</v>
      </c>
      <c r="O90" s="49">
        <v>90.4</v>
      </c>
      <c r="P90" s="49">
        <v>45.5</v>
      </c>
      <c r="Q90" s="49">
        <v>23.1</v>
      </c>
      <c r="R90" s="49">
        <v>11.9</v>
      </c>
      <c r="S90" s="49">
        <v>6.3</v>
      </c>
      <c r="T90" s="49">
        <v>4.4000000000000004</v>
      </c>
      <c r="U90" s="49">
        <v>3.5</v>
      </c>
      <c r="V90" s="49">
        <v>2.5</v>
      </c>
      <c r="W90" s="49">
        <v>2.1</v>
      </c>
      <c r="X90" s="49">
        <v>1.6</v>
      </c>
      <c r="Y90" s="49">
        <v>1.2</v>
      </c>
      <c r="Z90" s="49">
        <v>1</v>
      </c>
      <c r="AA90" s="49">
        <v>1</v>
      </c>
    </row>
    <row r="91" spans="2:27">
      <c r="B91" t="s">
        <v>97</v>
      </c>
      <c r="G91" s="12">
        <v>0.49306738019946483</v>
      </c>
      <c r="H91" s="5">
        <v>2.72</v>
      </c>
      <c r="I91" s="6" t="s">
        <v>110</v>
      </c>
      <c r="J91" s="5">
        <v>4.5999999999999996</v>
      </c>
      <c r="K91" s="5">
        <v>6.22</v>
      </c>
      <c r="L91" s="49">
        <v>283.8</v>
      </c>
      <c r="M91" s="49">
        <v>170.2</v>
      </c>
      <c r="N91" s="49">
        <v>85.2</v>
      </c>
      <c r="O91" s="49">
        <v>42.7</v>
      </c>
      <c r="P91" s="49">
        <v>21.4</v>
      </c>
      <c r="Q91" s="49">
        <v>10.8</v>
      </c>
      <c r="R91" s="49">
        <v>5.5</v>
      </c>
      <c r="S91" s="49">
        <v>2.9</v>
      </c>
      <c r="T91" s="49">
        <v>2</v>
      </c>
      <c r="U91" s="49">
        <v>1.5</v>
      </c>
      <c r="V91" s="49">
        <v>1.1000000000000001</v>
      </c>
      <c r="W91" s="49">
        <v>0.9</v>
      </c>
      <c r="X91" s="49">
        <v>0.6</v>
      </c>
      <c r="Y91" s="49">
        <v>0.5</v>
      </c>
      <c r="Z91" s="49">
        <v>0.5</v>
      </c>
      <c r="AA91" s="49">
        <v>0.5</v>
      </c>
    </row>
    <row r="92" spans="2:27">
      <c r="B92" t="s">
        <v>98</v>
      </c>
      <c r="G92" s="12">
        <v>0.72974621766715475</v>
      </c>
      <c r="H92" s="5">
        <v>2.81</v>
      </c>
      <c r="I92" s="5">
        <v>5.19</v>
      </c>
      <c r="J92" s="5">
        <v>4.7</v>
      </c>
      <c r="K92" s="5">
        <v>5.98</v>
      </c>
      <c r="L92" s="49">
        <v>1418.6</v>
      </c>
      <c r="M92" s="49">
        <v>851.5</v>
      </c>
      <c r="N92" s="49">
        <v>426.1</v>
      </c>
      <c r="O92" s="49">
        <v>213.5</v>
      </c>
      <c r="P92" s="49">
        <v>107.1</v>
      </c>
      <c r="Q92" s="49">
        <v>53.9</v>
      </c>
      <c r="R92" s="49">
        <v>27.3</v>
      </c>
      <c r="S92" s="49">
        <v>14</v>
      </c>
      <c r="T92" s="49">
        <v>9.6</v>
      </c>
      <c r="U92" s="49">
        <v>7.4</v>
      </c>
      <c r="V92" s="49">
        <v>5.0999999999999996</v>
      </c>
      <c r="W92" s="49">
        <v>4.0999999999999996</v>
      </c>
      <c r="X92" s="49">
        <v>2.9</v>
      </c>
      <c r="Y92" s="49">
        <v>2.4</v>
      </c>
      <c r="Z92" s="49">
        <v>2.1</v>
      </c>
      <c r="AA92" s="49">
        <v>2.1</v>
      </c>
    </row>
    <row r="93" spans="2:27">
      <c r="B93" t="s">
        <v>99</v>
      </c>
      <c r="G93" s="12">
        <v>0.74725609756097566</v>
      </c>
      <c r="H93" s="5">
        <v>3.52</v>
      </c>
      <c r="I93" s="5">
        <v>6.08</v>
      </c>
      <c r="J93" s="5">
        <v>5.56</v>
      </c>
      <c r="K93" s="5">
        <v>6.96</v>
      </c>
      <c r="L93" s="49">
        <v>306.39999999999998</v>
      </c>
      <c r="M93" s="49">
        <v>183.8</v>
      </c>
      <c r="N93" s="49">
        <v>92.1</v>
      </c>
      <c r="O93" s="49">
        <v>46.1</v>
      </c>
      <c r="P93" s="49">
        <v>23.2</v>
      </c>
      <c r="Q93" s="49">
        <v>11.7</v>
      </c>
      <c r="R93" s="49">
        <v>6</v>
      </c>
      <c r="S93" s="49">
        <v>3.1</v>
      </c>
      <c r="T93" s="49">
        <v>2.1</v>
      </c>
      <c r="U93" s="49">
        <v>1.7</v>
      </c>
      <c r="V93" s="49">
        <v>1.2</v>
      </c>
      <c r="W93" s="49">
        <v>1</v>
      </c>
      <c r="X93" s="49">
        <v>0.7</v>
      </c>
      <c r="Y93" s="49">
        <v>0.6</v>
      </c>
      <c r="Z93" s="49">
        <v>0.5</v>
      </c>
      <c r="AA93" s="49">
        <v>0.5</v>
      </c>
    </row>
    <row r="94" spans="2:27">
      <c r="B94" t="s">
        <v>100</v>
      </c>
      <c r="G94" s="12">
        <v>0.87066861883845781</v>
      </c>
      <c r="H94" s="5">
        <v>3.98</v>
      </c>
      <c r="I94" s="5">
        <v>6.81</v>
      </c>
      <c r="J94" s="5">
        <v>5.98</v>
      </c>
      <c r="K94" s="5">
        <v>7.52</v>
      </c>
      <c r="L94" s="49">
        <v>1603.7</v>
      </c>
      <c r="M94" s="49">
        <v>962.5</v>
      </c>
      <c r="N94" s="49">
        <v>481.6</v>
      </c>
      <c r="O94" s="49">
        <v>241.2</v>
      </c>
      <c r="P94" s="49">
        <v>120.9</v>
      </c>
      <c r="Q94" s="49">
        <v>60.8</v>
      </c>
      <c r="R94" s="49">
        <v>30.7</v>
      </c>
      <c r="S94" s="49">
        <v>15.7</v>
      </c>
      <c r="T94" s="49">
        <v>10.6</v>
      </c>
      <c r="U94" s="49">
        <v>8.1999999999999993</v>
      </c>
      <c r="V94" s="49">
        <v>5.5</v>
      </c>
      <c r="W94" s="49">
        <v>4.4000000000000004</v>
      </c>
      <c r="X94" s="49">
        <v>3.1</v>
      </c>
      <c r="Y94" s="49">
        <v>2.5</v>
      </c>
      <c r="Z94" s="49">
        <v>2.2000000000000002</v>
      </c>
      <c r="AA94" s="49">
        <v>2.2000000000000002</v>
      </c>
    </row>
    <row r="95" spans="2:27">
      <c r="B95" t="s">
        <v>101</v>
      </c>
      <c r="G95" s="12">
        <v>0.85943579766536971</v>
      </c>
      <c r="H95" s="5">
        <v>4.5599999999999996</v>
      </c>
      <c r="I95" s="5">
        <v>7.46</v>
      </c>
      <c r="J95" s="5">
        <v>7.26</v>
      </c>
      <c r="K95" s="5">
        <v>8.09</v>
      </c>
      <c r="L95" s="49">
        <v>391.4</v>
      </c>
      <c r="M95" s="49">
        <v>235</v>
      </c>
      <c r="N95" s="49">
        <v>117.5</v>
      </c>
      <c r="O95" s="49">
        <v>58.9</v>
      </c>
      <c r="P95" s="49">
        <v>29.6</v>
      </c>
      <c r="Q95" s="49">
        <v>14.9</v>
      </c>
      <c r="R95" s="49">
        <v>7.6</v>
      </c>
      <c r="S95" s="49">
        <v>3.9</v>
      </c>
      <c r="T95" s="49">
        <v>2.7</v>
      </c>
      <c r="U95" s="49">
        <v>2.1</v>
      </c>
      <c r="V95" s="49">
        <v>1.4</v>
      </c>
      <c r="W95" s="49">
        <v>1.1000000000000001</v>
      </c>
      <c r="X95" s="49">
        <v>0.8</v>
      </c>
      <c r="Y95" s="49">
        <v>0.7</v>
      </c>
      <c r="Z95" s="49">
        <v>0.6</v>
      </c>
      <c r="AA95" s="49">
        <v>0.6</v>
      </c>
    </row>
    <row r="96" spans="2:27">
      <c r="B96" t="s">
        <v>102</v>
      </c>
      <c r="G96" s="12">
        <v>0.92191312835529526</v>
      </c>
      <c r="H96" s="5">
        <v>4.91</v>
      </c>
      <c r="I96" s="5">
        <v>7.87</v>
      </c>
      <c r="J96" s="5">
        <v>7.6</v>
      </c>
      <c r="K96" s="5">
        <v>8.51</v>
      </c>
      <c r="L96" s="49">
        <v>1611.4</v>
      </c>
      <c r="M96" s="49">
        <v>967.3</v>
      </c>
      <c r="N96" s="49">
        <v>483.9</v>
      </c>
      <c r="O96" s="49">
        <v>242.3</v>
      </c>
      <c r="P96" s="49">
        <v>121.5</v>
      </c>
      <c r="Q96" s="49">
        <v>61.1</v>
      </c>
      <c r="R96" s="49">
        <v>30.9</v>
      </c>
      <c r="S96" s="49">
        <v>15.8</v>
      </c>
      <c r="T96" s="49">
        <v>10.7</v>
      </c>
      <c r="U96" s="49">
        <v>8.1999999999999993</v>
      </c>
      <c r="V96" s="49">
        <v>5.6</v>
      </c>
      <c r="W96" s="49">
        <v>4.4000000000000004</v>
      </c>
      <c r="X96" s="49">
        <v>3.1</v>
      </c>
      <c r="Y96" s="49">
        <v>2.5</v>
      </c>
      <c r="Z96" s="49">
        <v>2.2000000000000002</v>
      </c>
      <c r="AA96" s="49">
        <v>2.2000000000000002</v>
      </c>
    </row>
    <row r="97" spans="2:27">
      <c r="B97" t="s">
        <v>103</v>
      </c>
      <c r="G97" s="12">
        <v>0.94990272373540852</v>
      </c>
      <c r="H97" s="5">
        <v>6.59</v>
      </c>
      <c r="I97" s="5">
        <v>9.86</v>
      </c>
      <c r="J97" s="5">
        <v>9.1999999999999993</v>
      </c>
      <c r="K97" s="5">
        <v>10.41</v>
      </c>
      <c r="L97" s="49">
        <v>431.3</v>
      </c>
      <c r="M97" s="49">
        <v>259</v>
      </c>
      <c r="N97" s="49">
        <v>129.6</v>
      </c>
      <c r="O97" s="49">
        <v>64.900000000000006</v>
      </c>
      <c r="P97" s="49">
        <v>32.6</v>
      </c>
      <c r="Q97" s="49">
        <v>16.399999999999999</v>
      </c>
      <c r="R97" s="49">
        <v>8.3000000000000007</v>
      </c>
      <c r="S97" s="49">
        <v>4.3</v>
      </c>
      <c r="T97" s="49">
        <v>2.9</v>
      </c>
      <c r="U97" s="49">
        <v>2.2999999999999998</v>
      </c>
      <c r="V97" s="49">
        <v>1.5</v>
      </c>
      <c r="W97" s="49">
        <v>1.2</v>
      </c>
      <c r="X97" s="49">
        <v>0.9</v>
      </c>
      <c r="Y97" s="49">
        <v>0.7</v>
      </c>
      <c r="Z97" s="49">
        <v>0.6</v>
      </c>
      <c r="AA97" s="49">
        <v>0.6</v>
      </c>
    </row>
    <row r="98" spans="2:27">
      <c r="B98" t="s">
        <v>104</v>
      </c>
      <c r="G98" s="12">
        <v>0.3125</v>
      </c>
      <c r="H98" s="5">
        <v>2.48</v>
      </c>
      <c r="I98" s="6" t="s">
        <v>110</v>
      </c>
      <c r="J98" s="6" t="s">
        <v>110</v>
      </c>
      <c r="K98" s="6" t="s">
        <v>110</v>
      </c>
      <c r="L98" s="50">
        <v>173.4</v>
      </c>
      <c r="M98" s="50">
        <v>104</v>
      </c>
      <c r="N98" s="50">
        <v>52.1</v>
      </c>
      <c r="O98" s="50">
        <v>26.1</v>
      </c>
      <c r="P98" s="50">
        <v>13.2</v>
      </c>
      <c r="Q98" s="50">
        <v>6.7</v>
      </c>
      <c r="R98" s="50">
        <v>3.4</v>
      </c>
      <c r="S98" s="50">
        <v>1.8</v>
      </c>
      <c r="T98" s="50">
        <v>1.3</v>
      </c>
      <c r="U98" s="50">
        <v>1</v>
      </c>
      <c r="V98" s="50">
        <v>0.7</v>
      </c>
      <c r="W98" s="50">
        <v>0.6</v>
      </c>
      <c r="X98" s="50">
        <v>0.6</v>
      </c>
      <c r="Y98" s="50">
        <v>0.6</v>
      </c>
      <c r="Z98" s="50">
        <v>0.6</v>
      </c>
      <c r="AA98" s="50">
        <v>0.6</v>
      </c>
    </row>
    <row r="99" spans="2:27">
      <c r="B99" t="s">
        <v>105</v>
      </c>
      <c r="G99" s="12">
        <v>0.47727272727272729</v>
      </c>
      <c r="H99" s="5">
        <v>3.07</v>
      </c>
      <c r="I99" s="6" t="s">
        <v>110</v>
      </c>
      <c r="J99" s="6" t="s">
        <v>110</v>
      </c>
      <c r="K99" s="6" t="s">
        <v>110</v>
      </c>
      <c r="L99" s="50">
        <v>243</v>
      </c>
      <c r="M99" s="50">
        <v>145.9</v>
      </c>
      <c r="N99" s="50">
        <v>73</v>
      </c>
      <c r="O99" s="50">
        <v>36.6</v>
      </c>
      <c r="P99" s="50">
        <v>18.399999999999999</v>
      </c>
      <c r="Q99" s="50">
        <v>9.3000000000000007</v>
      </c>
      <c r="R99" s="50">
        <v>4.7</v>
      </c>
      <c r="S99" s="50">
        <v>2.5</v>
      </c>
      <c r="T99" s="50">
        <v>1.7</v>
      </c>
      <c r="U99" s="50">
        <v>1.3</v>
      </c>
      <c r="V99" s="50">
        <v>0.9</v>
      </c>
      <c r="W99" s="50">
        <v>0.8</v>
      </c>
      <c r="X99" s="50">
        <v>0.6</v>
      </c>
      <c r="Y99" s="50">
        <v>0.5</v>
      </c>
      <c r="Z99" s="50">
        <v>0.4</v>
      </c>
      <c r="AA99" s="50">
        <v>0.4</v>
      </c>
    </row>
    <row r="100" spans="2:27">
      <c r="B100" t="s">
        <v>106</v>
      </c>
      <c r="G100" s="12">
        <v>0.75</v>
      </c>
      <c r="H100" s="5">
        <v>3.84</v>
      </c>
      <c r="I100" s="5">
        <v>6.43</v>
      </c>
      <c r="J100" s="5">
        <v>6.54</v>
      </c>
      <c r="K100" s="5">
        <v>7.42</v>
      </c>
      <c r="L100" s="50">
        <v>276.5</v>
      </c>
      <c r="M100" s="50">
        <v>166</v>
      </c>
      <c r="N100" s="50">
        <v>83</v>
      </c>
      <c r="O100" s="50">
        <v>41.6</v>
      </c>
      <c r="P100" s="50">
        <v>20.9</v>
      </c>
      <c r="Q100" s="50">
        <v>10.5</v>
      </c>
      <c r="R100" s="50">
        <v>5.3</v>
      </c>
      <c r="S100" s="50">
        <v>2.7</v>
      </c>
      <c r="T100" s="50">
        <v>1.9</v>
      </c>
      <c r="U100" s="50">
        <v>1.4</v>
      </c>
      <c r="V100" s="50">
        <v>1</v>
      </c>
      <c r="W100" s="50">
        <v>0.8</v>
      </c>
      <c r="X100" s="50">
        <v>0.6</v>
      </c>
      <c r="Y100" s="50">
        <v>0.5</v>
      </c>
      <c r="Z100" s="50">
        <v>0.4</v>
      </c>
      <c r="AA100" s="50">
        <v>0.4</v>
      </c>
    </row>
    <row r="101" spans="2:27">
      <c r="B101" t="s">
        <v>107</v>
      </c>
      <c r="G101" s="12">
        <v>0.875</v>
      </c>
      <c r="H101" s="5">
        <v>3.92</v>
      </c>
      <c r="I101" s="5">
        <v>6.75</v>
      </c>
      <c r="J101" s="5">
        <v>6.64</v>
      </c>
      <c r="K101" s="5">
        <v>7.52</v>
      </c>
      <c r="L101" s="50">
        <v>1595.9</v>
      </c>
      <c r="M101" s="50">
        <v>957.7</v>
      </c>
      <c r="N101" s="50">
        <v>479.1</v>
      </c>
      <c r="O101" s="50">
        <v>239.8</v>
      </c>
      <c r="P101" s="50">
        <v>120.1</v>
      </c>
      <c r="Q101" s="50">
        <v>60.3</v>
      </c>
      <c r="R101" s="50">
        <v>30.4</v>
      </c>
      <c r="S101" s="50">
        <v>15.4</v>
      </c>
      <c r="T101" s="50">
        <v>10.4</v>
      </c>
      <c r="U101" s="50">
        <v>7.9</v>
      </c>
      <c r="V101" s="50">
        <v>5.3</v>
      </c>
      <c r="W101" s="50">
        <v>4.2</v>
      </c>
      <c r="X101" s="50">
        <v>2.9</v>
      </c>
      <c r="Y101" s="50">
        <v>2.2999999999999998</v>
      </c>
      <c r="Z101" s="50">
        <v>2</v>
      </c>
      <c r="AA101" s="50">
        <v>2</v>
      </c>
    </row>
    <row r="102" spans="2:27">
      <c r="B102" t="s">
        <v>108</v>
      </c>
      <c r="G102" s="12">
        <v>0.94444444444444442</v>
      </c>
      <c r="H102" s="5">
        <v>6.63</v>
      </c>
      <c r="I102" s="5">
        <v>9.81</v>
      </c>
      <c r="J102" s="5">
        <v>9.2200000000000006</v>
      </c>
      <c r="K102" s="5">
        <v>10.52</v>
      </c>
      <c r="L102" s="50">
        <v>423.7</v>
      </c>
      <c r="M102" s="50">
        <v>254.5</v>
      </c>
      <c r="N102" s="50">
        <v>127.3</v>
      </c>
      <c r="O102" s="50">
        <v>63.8</v>
      </c>
      <c r="P102" s="50">
        <v>32</v>
      </c>
      <c r="Q102" s="50">
        <v>16.100000000000001</v>
      </c>
      <c r="R102" s="50">
        <v>8.1999999999999993</v>
      </c>
      <c r="S102" s="50">
        <v>4.2</v>
      </c>
      <c r="T102" s="50">
        <v>2.9</v>
      </c>
      <c r="U102" s="50">
        <v>2.2000000000000002</v>
      </c>
      <c r="V102" s="50">
        <v>1.5</v>
      </c>
      <c r="W102" s="50">
        <v>1.2</v>
      </c>
      <c r="X102" s="50">
        <v>0.9</v>
      </c>
      <c r="Y102" s="50">
        <v>0.7</v>
      </c>
      <c r="Z102" s="50">
        <v>0.6</v>
      </c>
      <c r="AA102" s="50">
        <v>0.6</v>
      </c>
    </row>
    <row r="103" spans="2:27">
      <c r="B103" s="9" t="s">
        <v>112</v>
      </c>
      <c r="G103" s="12">
        <v>0.5</v>
      </c>
      <c r="H103" s="5">
        <v>4.6500000000000004</v>
      </c>
      <c r="I103" s="6" t="s">
        <v>110</v>
      </c>
      <c r="J103" s="5">
        <v>6.48</v>
      </c>
      <c r="K103" s="5">
        <v>7.52</v>
      </c>
      <c r="L103" s="49">
        <v>47</v>
      </c>
      <c r="M103" s="49">
        <v>28.3</v>
      </c>
      <c r="N103" s="49">
        <v>14.2</v>
      </c>
      <c r="O103" s="49">
        <v>7.2</v>
      </c>
      <c r="P103" s="49">
        <v>3.7</v>
      </c>
      <c r="Q103" s="49">
        <v>1.9</v>
      </c>
      <c r="R103" s="49">
        <v>1</v>
      </c>
      <c r="S103" s="49">
        <v>0.6</v>
      </c>
      <c r="T103" s="49">
        <v>0.4</v>
      </c>
      <c r="U103" s="49">
        <v>0.4</v>
      </c>
      <c r="V103" s="49">
        <v>0.3</v>
      </c>
      <c r="W103" s="49">
        <v>0.3</v>
      </c>
      <c r="X103" s="49">
        <v>0.2</v>
      </c>
      <c r="Y103" s="49">
        <v>0.1</v>
      </c>
      <c r="Z103" s="49">
        <v>0.1</v>
      </c>
      <c r="AA103" s="49">
        <v>0.1</v>
      </c>
    </row>
    <row r="104" spans="2:27" s="4" customFormat="1">
      <c r="B104" s="9" t="s">
        <v>119</v>
      </c>
      <c r="E104" s="22"/>
      <c r="F104" s="22"/>
      <c r="G104" s="12">
        <v>0.5</v>
      </c>
      <c r="H104" s="5">
        <v>3.55</v>
      </c>
      <c r="I104" s="6" t="s">
        <v>110</v>
      </c>
      <c r="J104" s="5">
        <v>5.32</v>
      </c>
      <c r="K104" s="5">
        <v>6.44</v>
      </c>
      <c r="L104" s="49">
        <v>87.8</v>
      </c>
      <c r="M104" s="49">
        <v>52.8</v>
      </c>
      <c r="N104" s="49">
        <v>26.5</v>
      </c>
      <c r="O104" s="49">
        <v>13.4</v>
      </c>
      <c r="P104" s="49">
        <v>6.8</v>
      </c>
      <c r="Q104" s="49">
        <v>3.5</v>
      </c>
      <c r="R104" s="49">
        <v>1.8</v>
      </c>
      <c r="S104" s="49">
        <v>1</v>
      </c>
      <c r="T104" s="49">
        <v>0.7</v>
      </c>
      <c r="U104" s="49">
        <v>0.6</v>
      </c>
      <c r="V104" s="49">
        <v>0.5</v>
      </c>
      <c r="W104" s="49">
        <v>0.4</v>
      </c>
      <c r="X104" s="49">
        <v>0.3</v>
      </c>
      <c r="Y104" s="49">
        <v>0.2</v>
      </c>
      <c r="Z104" s="49">
        <v>0.2</v>
      </c>
      <c r="AA104" s="49">
        <v>0.2</v>
      </c>
    </row>
    <row r="105" spans="2:27" s="4" customFormat="1">
      <c r="B105" s="9" t="s">
        <v>126</v>
      </c>
      <c r="E105" s="22"/>
      <c r="F105" s="22"/>
      <c r="G105" s="12">
        <v>0.5</v>
      </c>
      <c r="H105" s="5">
        <v>2.62</v>
      </c>
      <c r="I105" s="6" t="s">
        <v>110</v>
      </c>
      <c r="J105" s="5">
        <v>4.3499999999999996</v>
      </c>
      <c r="K105" s="5">
        <v>5.0199999999999996</v>
      </c>
      <c r="L105" s="49">
        <v>167.1</v>
      </c>
      <c r="M105" s="49">
        <v>100.3</v>
      </c>
      <c r="N105" s="49">
        <v>50.3</v>
      </c>
      <c r="O105" s="49">
        <v>25.3</v>
      </c>
      <c r="P105" s="49">
        <v>12.8</v>
      </c>
      <c r="Q105" s="49">
        <v>6.6</v>
      </c>
      <c r="R105" s="49">
        <v>3.4</v>
      </c>
      <c r="S105" s="49">
        <v>1.9</v>
      </c>
      <c r="T105" s="49">
        <v>1.3</v>
      </c>
      <c r="U105" s="49">
        <v>1.1000000000000001</v>
      </c>
      <c r="V105" s="49">
        <v>0.8</v>
      </c>
      <c r="W105" s="49">
        <v>0.7</v>
      </c>
      <c r="X105" s="49">
        <v>0.6</v>
      </c>
      <c r="Y105" s="49">
        <v>0.5</v>
      </c>
      <c r="Z105" s="49">
        <v>0.4</v>
      </c>
      <c r="AA105" s="49">
        <v>0.4</v>
      </c>
    </row>
    <row r="106" spans="2:27" s="4" customFormat="1">
      <c r="B106" s="9" t="s">
        <v>133</v>
      </c>
      <c r="E106" s="22"/>
      <c r="F106" s="22"/>
      <c r="G106" s="12">
        <v>0.5</v>
      </c>
      <c r="H106" s="5">
        <v>2.04</v>
      </c>
      <c r="I106" s="6" t="s">
        <v>110</v>
      </c>
      <c r="J106" s="5">
        <v>3.8</v>
      </c>
      <c r="K106" s="5">
        <v>4.4800000000000004</v>
      </c>
      <c r="L106" s="49">
        <v>327.9</v>
      </c>
      <c r="M106" s="49">
        <v>196.9</v>
      </c>
      <c r="N106" s="49">
        <v>98.8</v>
      </c>
      <c r="O106" s="49">
        <v>49.6</v>
      </c>
      <c r="P106" s="49">
        <v>25.1</v>
      </c>
      <c r="Q106" s="49">
        <v>12.8</v>
      </c>
      <c r="R106" s="49">
        <v>6.7</v>
      </c>
      <c r="S106" s="49">
        <v>3.6</v>
      </c>
      <c r="T106" s="49">
        <v>2.6</v>
      </c>
      <c r="U106" s="49">
        <v>2.1</v>
      </c>
      <c r="V106" s="49">
        <v>1.5</v>
      </c>
      <c r="W106" s="49">
        <v>1.3</v>
      </c>
      <c r="X106" s="49">
        <v>1</v>
      </c>
      <c r="Y106" s="49">
        <v>0.9</v>
      </c>
      <c r="Z106" s="49">
        <v>0.8</v>
      </c>
      <c r="AA106" s="49">
        <v>0.8</v>
      </c>
    </row>
    <row r="107" spans="2:27" s="4" customFormat="1">
      <c r="B107" s="9" t="s">
        <v>140</v>
      </c>
      <c r="E107" s="22"/>
      <c r="F107" s="22"/>
      <c r="G107" s="12">
        <v>0.5</v>
      </c>
      <c r="H107" s="5">
        <v>1.73</v>
      </c>
      <c r="I107" s="6" t="s">
        <v>110</v>
      </c>
      <c r="J107" s="5">
        <v>3.44</v>
      </c>
      <c r="K107" s="5">
        <v>4.16</v>
      </c>
      <c r="L107" s="49">
        <v>647.29999999999995</v>
      </c>
      <c r="M107" s="49">
        <v>388.9</v>
      </c>
      <c r="N107" s="49">
        <v>194.9</v>
      </c>
      <c r="O107" s="49">
        <v>98</v>
      </c>
      <c r="P107" s="49">
        <v>49.5</v>
      </c>
      <c r="Q107" s="49">
        <v>25.2</v>
      </c>
      <c r="R107" s="49">
        <v>13.1</v>
      </c>
      <c r="S107" s="49">
        <v>7.1</v>
      </c>
      <c r="T107" s="49">
        <v>5</v>
      </c>
      <c r="U107" s="49">
        <v>4</v>
      </c>
      <c r="V107" s="49">
        <v>3</v>
      </c>
      <c r="W107" s="49">
        <v>2.5</v>
      </c>
      <c r="X107" s="49">
        <v>2</v>
      </c>
      <c r="Y107" s="49">
        <v>1.7</v>
      </c>
      <c r="Z107" s="49">
        <v>1.5</v>
      </c>
      <c r="AA107" s="49">
        <v>1.5</v>
      </c>
    </row>
    <row r="108" spans="2:27" s="4" customFormat="1">
      <c r="B108" s="9" t="s">
        <v>147</v>
      </c>
      <c r="E108" s="22"/>
      <c r="F108" s="22"/>
      <c r="G108" s="12">
        <v>0.5</v>
      </c>
      <c r="H108" s="5">
        <v>1.52</v>
      </c>
      <c r="I108" s="6" t="s">
        <v>110</v>
      </c>
      <c r="J108" s="5">
        <v>3.19</v>
      </c>
      <c r="K108" s="5">
        <v>3.92</v>
      </c>
      <c r="L108" s="49">
        <v>1289</v>
      </c>
      <c r="M108" s="49">
        <v>774.2</v>
      </c>
      <c r="N108" s="49">
        <v>388.1</v>
      </c>
      <c r="O108" s="49">
        <v>195</v>
      </c>
      <c r="P108" s="49">
        <v>98.5</v>
      </c>
      <c r="Q108" s="49">
        <v>50.2</v>
      </c>
      <c r="R108" s="49">
        <v>26.1</v>
      </c>
      <c r="S108" s="49">
        <v>14</v>
      </c>
      <c r="T108" s="49">
        <v>9.9</v>
      </c>
      <c r="U108" s="49">
        <v>8</v>
      </c>
      <c r="V108" s="49">
        <v>5.8</v>
      </c>
      <c r="W108" s="49">
        <v>4.9000000000000004</v>
      </c>
      <c r="X108" s="49">
        <v>3.9</v>
      </c>
      <c r="Y108" s="49">
        <v>3.4</v>
      </c>
      <c r="Z108" s="49">
        <v>3</v>
      </c>
      <c r="AA108" s="49">
        <v>3</v>
      </c>
    </row>
    <row r="109" spans="2:27" s="4" customFormat="1">
      <c r="B109" s="9" t="s">
        <v>154</v>
      </c>
      <c r="E109" s="22"/>
      <c r="F109" s="22"/>
      <c r="G109" s="12">
        <v>0.5</v>
      </c>
      <c r="H109" s="5">
        <v>1.38</v>
      </c>
      <c r="I109" s="6" t="s">
        <v>110</v>
      </c>
      <c r="J109" s="5">
        <v>3.04</v>
      </c>
      <c r="K109" s="5">
        <v>3.76</v>
      </c>
      <c r="L109" s="49">
        <v>2569.6999999999998</v>
      </c>
      <c r="M109" s="49">
        <v>1543.3</v>
      </c>
      <c r="N109" s="49">
        <v>773.5</v>
      </c>
      <c r="O109" s="49">
        <v>388.6</v>
      </c>
      <c r="P109" s="49">
        <v>196.2</v>
      </c>
      <c r="Q109" s="49">
        <v>100</v>
      </c>
      <c r="R109" s="49">
        <v>51.9</v>
      </c>
      <c r="S109" s="49">
        <v>27.8</v>
      </c>
      <c r="T109" s="49">
        <v>19.7</v>
      </c>
      <c r="U109" s="49">
        <v>15.8</v>
      </c>
      <c r="V109" s="49">
        <v>11.6</v>
      </c>
      <c r="W109" s="49">
        <v>9.8000000000000007</v>
      </c>
      <c r="X109" s="49">
        <v>7.7</v>
      </c>
      <c r="Y109" s="49">
        <v>6.7</v>
      </c>
      <c r="Z109" s="49">
        <v>5.9</v>
      </c>
      <c r="AA109" s="49">
        <v>5.9</v>
      </c>
    </row>
    <row r="110" spans="2:27">
      <c r="B110" s="9" t="s">
        <v>115</v>
      </c>
      <c r="G110" s="12">
        <v>0.66666666666666663</v>
      </c>
      <c r="H110" s="5">
        <v>5.15</v>
      </c>
      <c r="I110" s="5">
        <v>7.77</v>
      </c>
      <c r="J110" s="5">
        <v>7.38</v>
      </c>
      <c r="K110" s="5">
        <v>8.6</v>
      </c>
      <c r="L110" s="49">
        <v>43.4</v>
      </c>
      <c r="M110" s="49">
        <v>26.3</v>
      </c>
      <c r="N110" s="49">
        <v>13.2</v>
      </c>
      <c r="O110" s="49">
        <v>6.7</v>
      </c>
      <c r="P110" s="49">
        <v>3.4</v>
      </c>
      <c r="Q110" s="49">
        <v>1.8</v>
      </c>
      <c r="R110" s="49">
        <v>1</v>
      </c>
      <c r="S110" s="49">
        <v>0.6</v>
      </c>
      <c r="T110" s="49">
        <v>0.4</v>
      </c>
      <c r="U110" s="49">
        <v>0.3</v>
      </c>
      <c r="V110" s="49">
        <v>0.3</v>
      </c>
      <c r="W110" s="49">
        <v>0.2</v>
      </c>
      <c r="X110" s="49">
        <v>0.2</v>
      </c>
      <c r="Y110" s="49">
        <v>0.1</v>
      </c>
      <c r="Z110" s="49">
        <v>0.1</v>
      </c>
      <c r="AA110" s="49">
        <v>0.1</v>
      </c>
    </row>
    <row r="111" spans="2:27" s="4" customFormat="1">
      <c r="B111" s="9" t="s">
        <v>120</v>
      </c>
      <c r="E111" s="22"/>
      <c r="F111" s="22"/>
      <c r="G111" s="12">
        <v>0.66666666666666663</v>
      </c>
      <c r="H111" s="5">
        <v>4.21</v>
      </c>
      <c r="I111" s="5">
        <v>6.33</v>
      </c>
      <c r="J111" s="5">
        <v>6.1</v>
      </c>
      <c r="K111" s="5">
        <v>7.35</v>
      </c>
      <c r="L111" s="49">
        <v>80.099999999999994</v>
      </c>
      <c r="M111" s="49">
        <v>48.3</v>
      </c>
      <c r="N111" s="49">
        <v>24.2</v>
      </c>
      <c r="O111" s="49">
        <v>12.2</v>
      </c>
      <c r="P111" s="49">
        <v>6.2</v>
      </c>
      <c r="Q111" s="49">
        <v>3.2</v>
      </c>
      <c r="R111" s="49">
        <v>1.7</v>
      </c>
      <c r="S111" s="49">
        <v>0.9</v>
      </c>
      <c r="T111" s="49">
        <v>0.7</v>
      </c>
      <c r="U111" s="49">
        <v>0.6</v>
      </c>
      <c r="V111" s="49">
        <v>0.4</v>
      </c>
      <c r="W111" s="49">
        <v>0.4</v>
      </c>
      <c r="X111" s="49">
        <v>0.3</v>
      </c>
      <c r="Y111" s="49">
        <v>0.2</v>
      </c>
      <c r="Z111" s="49">
        <v>0.2</v>
      </c>
      <c r="AA111" s="49">
        <v>0.2</v>
      </c>
    </row>
    <row r="112" spans="2:27" s="4" customFormat="1">
      <c r="B112" s="9" t="s">
        <v>127</v>
      </c>
      <c r="E112" s="22"/>
      <c r="F112" s="22"/>
      <c r="G112" s="12">
        <v>0.66666666666666663</v>
      </c>
      <c r="H112" s="5">
        <v>3.29</v>
      </c>
      <c r="I112" s="5">
        <v>5.36</v>
      </c>
      <c r="J112" s="5">
        <v>5.21</v>
      </c>
      <c r="K112" s="5">
        <v>6.39</v>
      </c>
      <c r="L112" s="49">
        <v>150.19999999999999</v>
      </c>
      <c r="M112" s="49">
        <v>90.3</v>
      </c>
      <c r="N112" s="49">
        <v>45.3</v>
      </c>
      <c r="O112" s="49">
        <v>22.8</v>
      </c>
      <c r="P112" s="49">
        <v>11.6</v>
      </c>
      <c r="Q112" s="49">
        <v>5.9</v>
      </c>
      <c r="R112" s="49">
        <v>3.1</v>
      </c>
      <c r="S112" s="49">
        <v>1.7</v>
      </c>
      <c r="T112" s="49">
        <v>1.2</v>
      </c>
      <c r="U112" s="49">
        <v>1</v>
      </c>
      <c r="V112" s="49">
        <v>0.8</v>
      </c>
      <c r="W112" s="49">
        <v>0.7</v>
      </c>
      <c r="X112" s="49">
        <v>0.5</v>
      </c>
      <c r="Y112" s="49">
        <v>0.4</v>
      </c>
      <c r="Z112" s="49">
        <v>0.4</v>
      </c>
      <c r="AA112" s="49">
        <v>0.4</v>
      </c>
    </row>
    <row r="113" spans="2:27" s="4" customFormat="1">
      <c r="B113" s="9" t="s">
        <v>134</v>
      </c>
      <c r="E113" s="22"/>
      <c r="F113" s="22"/>
      <c r="G113" s="12">
        <v>0.66666666666666663</v>
      </c>
      <c r="H113" s="5">
        <v>2.77</v>
      </c>
      <c r="I113" s="5">
        <v>4.88</v>
      </c>
      <c r="J113" s="5">
        <v>4.68</v>
      </c>
      <c r="K113" s="5">
        <v>5.85</v>
      </c>
      <c r="L113" s="49">
        <v>292.39999999999998</v>
      </c>
      <c r="M113" s="49">
        <v>175.7</v>
      </c>
      <c r="N113" s="49">
        <v>88.1</v>
      </c>
      <c r="O113" s="49">
        <v>44.4</v>
      </c>
      <c r="P113" s="49">
        <v>22.5</v>
      </c>
      <c r="Q113" s="49">
        <v>11.5</v>
      </c>
      <c r="R113" s="49">
        <v>6</v>
      </c>
      <c r="S113" s="49">
        <v>3.3</v>
      </c>
      <c r="T113" s="49">
        <v>2.4</v>
      </c>
      <c r="U113" s="49">
        <v>1.9</v>
      </c>
      <c r="V113" s="49">
        <v>1.4</v>
      </c>
      <c r="W113" s="49">
        <v>1.2</v>
      </c>
      <c r="X113" s="49">
        <v>1</v>
      </c>
      <c r="Y113" s="49">
        <v>0.9</v>
      </c>
      <c r="Z113" s="49">
        <v>0.7</v>
      </c>
      <c r="AA113" s="49">
        <v>0.7</v>
      </c>
    </row>
    <row r="114" spans="2:27" s="4" customFormat="1">
      <c r="B114" s="9" t="s">
        <v>141</v>
      </c>
      <c r="E114" s="22"/>
      <c r="F114" s="22"/>
      <c r="G114" s="12">
        <v>0.66666666666666663</v>
      </c>
      <c r="H114" s="5">
        <v>2.46</v>
      </c>
      <c r="I114" s="5">
        <v>4.53</v>
      </c>
      <c r="J114" s="5">
        <v>4.3600000000000003</v>
      </c>
      <c r="K114" s="5">
        <v>5.46</v>
      </c>
      <c r="L114" s="49">
        <v>577.9</v>
      </c>
      <c r="M114" s="49">
        <v>347.1</v>
      </c>
      <c r="N114" s="49">
        <v>174.1</v>
      </c>
      <c r="O114" s="49">
        <v>87.5</v>
      </c>
      <c r="P114" s="49">
        <v>44.3</v>
      </c>
      <c r="Q114" s="49">
        <v>22.6</v>
      </c>
      <c r="R114" s="49">
        <v>11.8</v>
      </c>
      <c r="S114" s="49">
        <v>6.4</v>
      </c>
      <c r="T114" s="49">
        <v>4.5999999999999996</v>
      </c>
      <c r="U114" s="49">
        <v>3.7</v>
      </c>
      <c r="V114" s="49">
        <v>2.8</v>
      </c>
      <c r="W114" s="49">
        <v>2.4</v>
      </c>
      <c r="X114" s="49">
        <v>1.9</v>
      </c>
      <c r="Y114" s="49">
        <v>1.7</v>
      </c>
      <c r="Z114" s="49">
        <v>1.4</v>
      </c>
      <c r="AA114" s="49">
        <v>1.4</v>
      </c>
    </row>
    <row r="115" spans="2:27" s="4" customFormat="1">
      <c r="B115" s="9" t="s">
        <v>148</v>
      </c>
      <c r="E115" s="22"/>
      <c r="F115" s="22"/>
      <c r="G115" s="12">
        <v>0.66666666666666663</v>
      </c>
      <c r="H115" s="5">
        <v>2.23</v>
      </c>
      <c r="I115" s="5">
        <v>4.28</v>
      </c>
      <c r="J115" s="5">
        <v>4.09</v>
      </c>
      <c r="K115" s="5">
        <v>5.19</v>
      </c>
      <c r="L115" s="49">
        <v>1147.2</v>
      </c>
      <c r="M115" s="49">
        <v>689.1</v>
      </c>
      <c r="N115" s="49">
        <v>345.4</v>
      </c>
      <c r="O115" s="49">
        <v>173.7</v>
      </c>
      <c r="P115" s="49">
        <v>87.8</v>
      </c>
      <c r="Q115" s="49">
        <v>44.9</v>
      </c>
      <c r="R115" s="49">
        <v>23.4</v>
      </c>
      <c r="S115" s="49">
        <v>12.7</v>
      </c>
      <c r="T115" s="49">
        <v>9</v>
      </c>
      <c r="U115" s="49">
        <v>7.3</v>
      </c>
      <c r="V115" s="49">
        <v>5.4</v>
      </c>
      <c r="W115" s="49">
        <v>4.5999999999999996</v>
      </c>
      <c r="X115" s="49">
        <v>3.7</v>
      </c>
      <c r="Y115" s="49">
        <v>3.2</v>
      </c>
      <c r="Z115" s="49">
        <v>2.8</v>
      </c>
      <c r="AA115" s="49">
        <v>2.8</v>
      </c>
    </row>
    <row r="116" spans="2:27" s="4" customFormat="1">
      <c r="B116" s="9" t="s">
        <v>155</v>
      </c>
      <c r="E116" s="22"/>
      <c r="F116" s="22"/>
      <c r="G116" s="12">
        <v>0.66666666666666663</v>
      </c>
      <c r="H116" s="5">
        <v>2.09</v>
      </c>
      <c r="I116" s="5">
        <v>4.1399999999999997</v>
      </c>
      <c r="J116" s="5">
        <v>3.91</v>
      </c>
      <c r="K116" s="5">
        <v>5.01</v>
      </c>
      <c r="L116" s="49">
        <v>2286.3000000000002</v>
      </c>
      <c r="M116" s="49">
        <v>1373.3</v>
      </c>
      <c r="N116" s="49">
        <v>688.5</v>
      </c>
      <c r="O116" s="49">
        <v>346.1</v>
      </c>
      <c r="P116" s="49">
        <v>175</v>
      </c>
      <c r="Q116" s="49">
        <v>89.4</v>
      </c>
      <c r="R116" s="49">
        <v>46.5</v>
      </c>
      <c r="S116" s="49">
        <v>25.1</v>
      </c>
      <c r="T116" s="49">
        <v>17.899999999999999</v>
      </c>
      <c r="U116" s="49">
        <v>14.4</v>
      </c>
      <c r="V116" s="49">
        <v>10.7</v>
      </c>
      <c r="W116" s="49">
        <v>9.1</v>
      </c>
      <c r="X116" s="49">
        <v>7.2</v>
      </c>
      <c r="Y116" s="49">
        <v>6.3</v>
      </c>
      <c r="Z116" s="49">
        <v>5.7</v>
      </c>
      <c r="AA116" s="49">
        <v>5.7</v>
      </c>
    </row>
    <row r="117" spans="2:27">
      <c r="B117" s="9" t="s">
        <v>113</v>
      </c>
      <c r="G117" s="12">
        <v>0.75004577916132575</v>
      </c>
      <c r="H117" s="5">
        <v>6.1</v>
      </c>
      <c r="I117" s="5">
        <v>9.0399999999999991</v>
      </c>
      <c r="J117" s="5">
        <v>8.27</v>
      </c>
      <c r="K117" s="5">
        <v>9.6300000000000008</v>
      </c>
      <c r="L117" s="49">
        <v>43.5</v>
      </c>
      <c r="M117" s="49">
        <v>25.9</v>
      </c>
      <c r="N117" s="49">
        <v>13.1</v>
      </c>
      <c r="O117" s="49">
        <v>6.7</v>
      </c>
      <c r="P117" s="49">
        <v>3.4</v>
      </c>
      <c r="Q117" s="49">
        <v>1.8</v>
      </c>
      <c r="R117" s="49">
        <v>1</v>
      </c>
      <c r="S117" s="49">
        <v>0.6</v>
      </c>
      <c r="T117" s="49">
        <v>0.4</v>
      </c>
      <c r="U117" s="49">
        <v>0.3</v>
      </c>
      <c r="V117" s="49">
        <v>0.3</v>
      </c>
      <c r="W117" s="49">
        <v>0.2</v>
      </c>
      <c r="X117" s="49">
        <v>0.2</v>
      </c>
      <c r="Y117" s="49">
        <v>0.1</v>
      </c>
      <c r="Z117" s="49">
        <v>0.1</v>
      </c>
      <c r="AA117" s="49">
        <v>0.1</v>
      </c>
    </row>
    <row r="118" spans="2:27" s="4" customFormat="1">
      <c r="B118" s="9" t="s">
        <v>121</v>
      </c>
      <c r="E118" s="22"/>
      <c r="F118" s="22"/>
      <c r="G118" s="12">
        <v>0.75004577916132575</v>
      </c>
      <c r="H118" s="5">
        <v>4.91</v>
      </c>
      <c r="I118" s="5">
        <v>7.57</v>
      </c>
      <c r="J118" s="5">
        <v>7.07</v>
      </c>
      <c r="K118" s="5">
        <v>8.4</v>
      </c>
      <c r="L118" s="49">
        <v>75.599999999999994</v>
      </c>
      <c r="M118" s="49">
        <v>45.3</v>
      </c>
      <c r="N118" s="49">
        <v>22.8</v>
      </c>
      <c r="O118" s="49">
        <v>11.5</v>
      </c>
      <c r="P118" s="49">
        <v>5.9</v>
      </c>
      <c r="Q118" s="49">
        <v>3</v>
      </c>
      <c r="R118" s="49">
        <v>1.6</v>
      </c>
      <c r="S118" s="49">
        <v>0.9</v>
      </c>
      <c r="T118" s="49">
        <v>0.7</v>
      </c>
      <c r="U118" s="49">
        <v>0.6</v>
      </c>
      <c r="V118" s="49">
        <v>0.4</v>
      </c>
      <c r="W118" s="49">
        <v>0.4</v>
      </c>
      <c r="X118" s="49">
        <v>0.3</v>
      </c>
      <c r="Y118" s="49">
        <v>0.2</v>
      </c>
      <c r="Z118" s="49">
        <v>0.2</v>
      </c>
      <c r="AA118" s="49">
        <v>0.2</v>
      </c>
    </row>
    <row r="119" spans="2:27" s="4" customFormat="1">
      <c r="B119" s="9" t="s">
        <v>128</v>
      </c>
      <c r="E119" s="22"/>
      <c r="F119" s="22"/>
      <c r="G119" s="12">
        <v>0.75004577916132575</v>
      </c>
      <c r="H119" s="5">
        <v>4.17</v>
      </c>
      <c r="I119" s="5">
        <v>6.62</v>
      </c>
      <c r="J119" s="5">
        <v>6.14</v>
      </c>
      <c r="K119" s="5">
        <v>7.48</v>
      </c>
      <c r="L119" s="49">
        <v>143.4</v>
      </c>
      <c r="M119" s="49">
        <v>86.1</v>
      </c>
      <c r="N119" s="49">
        <v>43.2</v>
      </c>
      <c r="O119" s="49">
        <v>21.8</v>
      </c>
      <c r="P119" s="49">
        <v>11</v>
      </c>
      <c r="Q119" s="49">
        <v>5.7</v>
      </c>
      <c r="R119" s="49">
        <v>3</v>
      </c>
      <c r="S119" s="49">
        <v>1.7</v>
      </c>
      <c r="T119" s="49">
        <v>1.2</v>
      </c>
      <c r="U119" s="49">
        <v>1</v>
      </c>
      <c r="V119" s="49">
        <v>0.7</v>
      </c>
      <c r="W119" s="49">
        <v>0.6</v>
      </c>
      <c r="X119" s="49">
        <v>0.5</v>
      </c>
      <c r="Y119" s="49">
        <v>0.4</v>
      </c>
      <c r="Z119" s="49">
        <v>0.4</v>
      </c>
      <c r="AA119" s="49">
        <v>0.4</v>
      </c>
    </row>
    <row r="120" spans="2:27" s="4" customFormat="1">
      <c r="B120" s="9" t="s">
        <v>135</v>
      </c>
      <c r="E120" s="22"/>
      <c r="F120" s="22"/>
      <c r="G120" s="12">
        <v>0.75004577916132575</v>
      </c>
      <c r="H120" s="5">
        <v>3.52</v>
      </c>
      <c r="I120" s="5">
        <v>5.97</v>
      </c>
      <c r="J120" s="5">
        <v>5.51</v>
      </c>
      <c r="K120" s="5">
        <v>6.78</v>
      </c>
      <c r="L120" s="49">
        <v>276</v>
      </c>
      <c r="M120" s="49">
        <v>165.8</v>
      </c>
      <c r="N120" s="49">
        <v>83.1</v>
      </c>
      <c r="O120" s="49">
        <v>41.9</v>
      </c>
      <c r="P120" s="49">
        <v>21.2</v>
      </c>
      <c r="Q120" s="49">
        <v>10.9</v>
      </c>
      <c r="R120" s="49">
        <v>5.7</v>
      </c>
      <c r="S120" s="49">
        <v>3.1</v>
      </c>
      <c r="T120" s="49">
        <v>2.2999999999999998</v>
      </c>
      <c r="U120" s="49">
        <v>1.8</v>
      </c>
      <c r="V120" s="49">
        <v>1.4</v>
      </c>
      <c r="W120" s="49">
        <v>1.2</v>
      </c>
      <c r="X120" s="49">
        <v>1</v>
      </c>
      <c r="Y120" s="49">
        <v>0.8</v>
      </c>
      <c r="Z120" s="49">
        <v>0.7</v>
      </c>
      <c r="AA120" s="49">
        <v>0.7</v>
      </c>
    </row>
    <row r="121" spans="2:27" s="4" customFormat="1">
      <c r="B121" s="9" t="s">
        <v>142</v>
      </c>
      <c r="E121" s="22"/>
      <c r="F121" s="22"/>
      <c r="G121" s="12">
        <v>0.75004577916132575</v>
      </c>
      <c r="H121" s="5">
        <v>3.14</v>
      </c>
      <c r="I121" s="5">
        <v>5.56</v>
      </c>
      <c r="J121" s="5">
        <v>5.1100000000000003</v>
      </c>
      <c r="K121" s="5">
        <v>6.37</v>
      </c>
      <c r="L121" s="49">
        <v>543.29999999999995</v>
      </c>
      <c r="M121" s="49">
        <v>326.39999999999998</v>
      </c>
      <c r="N121" s="49">
        <v>163.69999999999999</v>
      </c>
      <c r="O121" s="49">
        <v>82.4</v>
      </c>
      <c r="P121" s="49">
        <v>41.7</v>
      </c>
      <c r="Q121" s="49">
        <v>21.4</v>
      </c>
      <c r="R121" s="49">
        <v>11.2</v>
      </c>
      <c r="S121" s="49">
        <v>6.1</v>
      </c>
      <c r="T121" s="49">
        <v>4.4000000000000004</v>
      </c>
      <c r="U121" s="49">
        <v>3.6</v>
      </c>
      <c r="V121" s="49">
        <v>2.7</v>
      </c>
      <c r="W121" s="49">
        <v>2.2999999999999998</v>
      </c>
      <c r="X121" s="49">
        <v>1.8</v>
      </c>
      <c r="Y121" s="49">
        <v>1.6</v>
      </c>
      <c r="Z121" s="49">
        <v>1.4</v>
      </c>
      <c r="AA121" s="49">
        <v>1.4</v>
      </c>
    </row>
    <row r="122" spans="2:27" s="4" customFormat="1">
      <c r="B122" s="9" t="s">
        <v>149</v>
      </c>
      <c r="E122" s="22"/>
      <c r="F122" s="22"/>
      <c r="G122" s="12">
        <v>0.75004577916132575</v>
      </c>
      <c r="H122" s="5">
        <v>2.89</v>
      </c>
      <c r="I122" s="5">
        <v>5.27</v>
      </c>
      <c r="J122" s="5">
        <v>4.83</v>
      </c>
      <c r="K122" s="5">
        <v>6.07</v>
      </c>
      <c r="L122" s="49">
        <v>1076.2</v>
      </c>
      <c r="M122" s="49">
        <v>646.5</v>
      </c>
      <c r="N122" s="49">
        <v>324.2</v>
      </c>
      <c r="O122" s="49">
        <v>163.1</v>
      </c>
      <c r="P122" s="49">
        <v>82.5</v>
      </c>
      <c r="Q122" s="49">
        <v>42.2</v>
      </c>
      <c r="R122" s="49">
        <v>22.1</v>
      </c>
      <c r="S122" s="49">
        <v>12</v>
      </c>
      <c r="T122" s="49">
        <v>8.6</v>
      </c>
      <c r="U122" s="49">
        <v>7</v>
      </c>
      <c r="V122" s="49">
        <v>5.2</v>
      </c>
      <c r="W122" s="49">
        <v>4.5</v>
      </c>
      <c r="X122" s="49">
        <v>3.6</v>
      </c>
      <c r="Y122" s="49">
        <v>3.2</v>
      </c>
      <c r="Z122" s="49">
        <v>2.8</v>
      </c>
      <c r="AA122" s="49">
        <v>2.8</v>
      </c>
    </row>
    <row r="123" spans="2:27" s="4" customFormat="1">
      <c r="B123" s="9" t="s">
        <v>156</v>
      </c>
      <c r="E123" s="22"/>
      <c r="F123" s="22"/>
      <c r="G123" s="12">
        <v>0.75004577916132575</v>
      </c>
      <c r="H123" s="5">
        <v>2.72</v>
      </c>
      <c r="I123" s="5">
        <v>5.07</v>
      </c>
      <c r="J123" s="5">
        <v>4.63</v>
      </c>
      <c r="K123" s="5">
        <v>5.87</v>
      </c>
      <c r="L123" s="49">
        <v>2144.9</v>
      </c>
      <c r="M123" s="49">
        <v>1288.5999999999999</v>
      </c>
      <c r="N123" s="49">
        <v>646.20000000000005</v>
      </c>
      <c r="O123" s="49">
        <v>325</v>
      </c>
      <c r="P123" s="49">
        <v>164.4</v>
      </c>
      <c r="Q123" s="49">
        <v>84.1</v>
      </c>
      <c r="R123" s="49">
        <v>43.9</v>
      </c>
      <c r="S123" s="49">
        <v>23.9</v>
      </c>
      <c r="T123" s="49">
        <v>17.100000000000001</v>
      </c>
      <c r="U123" s="49">
        <v>13.8</v>
      </c>
      <c r="V123" s="49">
        <v>10.3</v>
      </c>
      <c r="W123" s="49">
        <v>8.8000000000000007</v>
      </c>
      <c r="X123" s="49">
        <v>7</v>
      </c>
      <c r="Y123" s="49">
        <v>6.2</v>
      </c>
      <c r="Z123" s="49">
        <v>5.6</v>
      </c>
      <c r="AA123" s="49">
        <v>5.6</v>
      </c>
    </row>
    <row r="124" spans="2:27">
      <c r="B124" s="9" t="s">
        <v>114</v>
      </c>
      <c r="G124" s="12">
        <v>0.82364769756686107</v>
      </c>
      <c r="H124" s="5">
        <v>6.85</v>
      </c>
      <c r="I124" s="5">
        <v>10.01</v>
      </c>
      <c r="J124" s="5">
        <v>9.16</v>
      </c>
      <c r="K124" s="5">
        <v>10.61</v>
      </c>
      <c r="L124" s="49">
        <v>41.5</v>
      </c>
      <c r="M124" s="49">
        <v>25</v>
      </c>
      <c r="N124" s="49">
        <v>12.5</v>
      </c>
      <c r="O124" s="49">
        <v>6.3</v>
      </c>
      <c r="P124" s="49">
        <v>3.3</v>
      </c>
      <c r="Q124" s="49">
        <v>1.7</v>
      </c>
      <c r="R124" s="49">
        <v>0.9</v>
      </c>
      <c r="S124" s="49">
        <v>0.5</v>
      </c>
      <c r="T124" s="49">
        <v>0.4</v>
      </c>
      <c r="U124" s="49">
        <v>0.3</v>
      </c>
      <c r="V124" s="49">
        <v>0.3</v>
      </c>
      <c r="W124" s="49">
        <v>0.2</v>
      </c>
      <c r="X124" s="49">
        <v>0.2</v>
      </c>
      <c r="Y124" s="49">
        <v>0.1</v>
      </c>
      <c r="Z124" s="49">
        <v>0.1</v>
      </c>
      <c r="AA124" s="49">
        <v>0.1</v>
      </c>
    </row>
    <row r="125" spans="2:27" s="4" customFormat="1">
      <c r="B125" s="9" t="s">
        <v>122</v>
      </c>
      <c r="E125" s="22"/>
      <c r="F125" s="22"/>
      <c r="G125" s="12">
        <v>0.82364769756686107</v>
      </c>
      <c r="H125" s="5">
        <v>5.71</v>
      </c>
      <c r="I125" s="5">
        <v>8.6199999999999992</v>
      </c>
      <c r="J125" s="5">
        <v>7.83</v>
      </c>
      <c r="K125" s="5">
        <v>9.33</v>
      </c>
      <c r="L125" s="49">
        <v>72.7</v>
      </c>
      <c r="M125" s="49">
        <v>43.9</v>
      </c>
      <c r="N125" s="49">
        <v>22</v>
      </c>
      <c r="O125" s="49">
        <v>11.1</v>
      </c>
      <c r="P125" s="49">
        <v>5.7</v>
      </c>
      <c r="Q125" s="49">
        <v>2.9</v>
      </c>
      <c r="R125" s="49">
        <v>1.6</v>
      </c>
      <c r="S125" s="49">
        <v>0.9</v>
      </c>
      <c r="T125" s="49">
        <v>0.7</v>
      </c>
      <c r="U125" s="49">
        <v>0.5</v>
      </c>
      <c r="V125" s="49">
        <v>0.4</v>
      </c>
      <c r="W125" s="49">
        <v>0.4</v>
      </c>
      <c r="X125" s="49">
        <v>0.3</v>
      </c>
      <c r="Y125" s="49">
        <v>0.2</v>
      </c>
      <c r="Z125" s="49">
        <v>0.2</v>
      </c>
      <c r="AA125" s="49">
        <v>0.2</v>
      </c>
    </row>
    <row r="126" spans="2:27" s="4" customFormat="1">
      <c r="B126" s="9" t="s">
        <v>129</v>
      </c>
      <c r="E126" s="22"/>
      <c r="F126" s="22"/>
      <c r="G126" s="12">
        <v>0.82364769756686107</v>
      </c>
      <c r="H126" s="5">
        <v>4.87</v>
      </c>
      <c r="I126" s="5">
        <v>7.65</v>
      </c>
      <c r="J126" s="5">
        <v>6.93</v>
      </c>
      <c r="K126" s="5">
        <v>8.39</v>
      </c>
      <c r="L126" s="49">
        <v>135.30000000000001</v>
      </c>
      <c r="M126" s="49">
        <v>81.400000000000006</v>
      </c>
      <c r="N126" s="49">
        <v>40.799999999999997</v>
      </c>
      <c r="O126" s="49">
        <v>20.6</v>
      </c>
      <c r="P126" s="49">
        <v>10.5</v>
      </c>
      <c r="Q126" s="49">
        <v>5.4</v>
      </c>
      <c r="R126" s="49">
        <v>2.8</v>
      </c>
      <c r="S126" s="49">
        <v>1.6</v>
      </c>
      <c r="T126" s="49">
        <v>1.2</v>
      </c>
      <c r="U126" s="49">
        <v>0.9</v>
      </c>
      <c r="V126" s="49">
        <v>0.7</v>
      </c>
      <c r="W126" s="49">
        <v>0.6</v>
      </c>
      <c r="X126" s="49">
        <v>0.5</v>
      </c>
      <c r="Y126" s="49">
        <v>0.4</v>
      </c>
      <c r="Z126" s="49">
        <v>0.4</v>
      </c>
      <c r="AA126" s="49">
        <v>0.4</v>
      </c>
    </row>
    <row r="127" spans="2:27" s="4" customFormat="1">
      <c r="B127" s="9" t="s">
        <v>136</v>
      </c>
      <c r="E127" s="22"/>
      <c r="F127" s="22"/>
      <c r="G127" s="12">
        <v>0.82364769756686107</v>
      </c>
      <c r="H127" s="5">
        <v>4.2300000000000004</v>
      </c>
      <c r="I127" s="5">
        <v>6.92</v>
      </c>
      <c r="J127" s="5">
        <v>6.27</v>
      </c>
      <c r="K127" s="5">
        <v>7.66</v>
      </c>
      <c r="L127" s="49">
        <v>260.8</v>
      </c>
      <c r="M127" s="49">
        <v>156.6</v>
      </c>
      <c r="N127" s="49">
        <v>78.599999999999994</v>
      </c>
      <c r="O127" s="49">
        <v>39.6</v>
      </c>
      <c r="P127" s="49">
        <v>20.100000000000001</v>
      </c>
      <c r="Q127" s="49">
        <v>10.3</v>
      </c>
      <c r="R127" s="49">
        <v>5.4</v>
      </c>
      <c r="S127" s="49">
        <v>3</v>
      </c>
      <c r="T127" s="49">
        <v>2.2000000000000002</v>
      </c>
      <c r="U127" s="49">
        <v>1.8</v>
      </c>
      <c r="V127" s="49">
        <v>1.3</v>
      </c>
      <c r="W127" s="49">
        <v>1.2</v>
      </c>
      <c r="X127" s="49">
        <v>0.9</v>
      </c>
      <c r="Y127" s="49">
        <v>0.8</v>
      </c>
      <c r="Z127" s="49">
        <v>0.7</v>
      </c>
      <c r="AA127" s="49">
        <v>0.7</v>
      </c>
    </row>
    <row r="128" spans="2:27" s="4" customFormat="1">
      <c r="B128" s="9" t="s">
        <v>143</v>
      </c>
      <c r="E128" s="22"/>
      <c r="F128" s="22"/>
      <c r="G128" s="12">
        <v>0.82364769756686107</v>
      </c>
      <c r="H128" s="5">
        <v>3.72</v>
      </c>
      <c r="I128" s="5">
        <v>6.44</v>
      </c>
      <c r="J128" s="5">
        <v>5.8</v>
      </c>
      <c r="K128" s="5">
        <v>7.19</v>
      </c>
      <c r="L128" s="49">
        <v>512</v>
      </c>
      <c r="M128" s="49">
        <v>307.39999999999998</v>
      </c>
      <c r="N128" s="49">
        <v>154.19999999999999</v>
      </c>
      <c r="O128" s="49">
        <v>77.599999999999994</v>
      </c>
      <c r="P128" s="49">
        <v>39.299999999999997</v>
      </c>
      <c r="Q128" s="49">
        <v>20.2</v>
      </c>
      <c r="R128" s="49">
        <v>10.6</v>
      </c>
      <c r="S128" s="49">
        <v>5.8</v>
      </c>
      <c r="T128" s="49">
        <v>4.2</v>
      </c>
      <c r="U128" s="49">
        <v>3.4</v>
      </c>
      <c r="V128" s="49">
        <v>2.6</v>
      </c>
      <c r="W128" s="49">
        <v>2.2000000000000002</v>
      </c>
      <c r="X128" s="49">
        <v>1.8</v>
      </c>
      <c r="Y128" s="49">
        <v>1.6</v>
      </c>
      <c r="Z128" s="49">
        <v>1.4</v>
      </c>
      <c r="AA128" s="49">
        <v>1.4</v>
      </c>
    </row>
    <row r="129" spans="2:27" s="4" customFormat="1">
      <c r="B129" s="9" t="s">
        <v>150</v>
      </c>
      <c r="E129" s="22"/>
      <c r="F129" s="22"/>
      <c r="G129" s="12">
        <v>0.82364769756686107</v>
      </c>
      <c r="H129" s="5">
        <v>3.44</v>
      </c>
      <c r="I129" s="5">
        <v>6.09</v>
      </c>
      <c r="J129" s="5">
        <v>5.45</v>
      </c>
      <c r="K129" s="5">
        <v>6.82</v>
      </c>
      <c r="L129" s="49">
        <v>1015.4</v>
      </c>
      <c r="M129" s="49">
        <v>609.9</v>
      </c>
      <c r="N129" s="49">
        <v>305.89999999999998</v>
      </c>
      <c r="O129" s="49">
        <v>153.9</v>
      </c>
      <c r="P129" s="49">
        <v>77.900000000000006</v>
      </c>
      <c r="Q129" s="49">
        <v>39.9</v>
      </c>
      <c r="R129" s="49">
        <v>20.9</v>
      </c>
      <c r="S129" s="49">
        <v>11.4</v>
      </c>
      <c r="T129" s="49">
        <v>8.1999999999999993</v>
      </c>
      <c r="U129" s="49">
        <v>6.7</v>
      </c>
      <c r="V129" s="49">
        <v>5</v>
      </c>
      <c r="W129" s="49">
        <v>4.3</v>
      </c>
      <c r="X129" s="49">
        <v>3.5</v>
      </c>
      <c r="Y129" s="49">
        <v>3.1</v>
      </c>
      <c r="Z129" s="49">
        <v>2.7</v>
      </c>
      <c r="AA129" s="49">
        <v>2.7</v>
      </c>
    </row>
    <row r="130" spans="2:27" s="4" customFormat="1">
      <c r="B130" s="9" t="s">
        <v>157</v>
      </c>
      <c r="E130" s="22"/>
      <c r="F130" s="22"/>
      <c r="G130" s="12">
        <v>0.82364769756686107</v>
      </c>
      <c r="H130" s="5">
        <v>3.27</v>
      </c>
      <c r="I130" s="5">
        <v>5.86</v>
      </c>
      <c r="J130" s="5">
        <v>5.24</v>
      </c>
      <c r="K130" s="5">
        <v>6.68</v>
      </c>
      <c r="L130" s="49">
        <v>2020.7</v>
      </c>
      <c r="M130" s="49">
        <v>1213.9000000000001</v>
      </c>
      <c r="N130" s="49">
        <v>608.79999999999995</v>
      </c>
      <c r="O130" s="49">
        <v>306.3</v>
      </c>
      <c r="P130" s="49">
        <v>155</v>
      </c>
      <c r="Q130" s="49">
        <v>79.400000000000006</v>
      </c>
      <c r="R130" s="49">
        <v>41.6</v>
      </c>
      <c r="S130" s="49">
        <v>22.7</v>
      </c>
      <c r="T130" s="49">
        <v>16.3</v>
      </c>
      <c r="U130" s="49">
        <v>13.2</v>
      </c>
      <c r="V130" s="49">
        <v>9.9</v>
      </c>
      <c r="W130" s="49">
        <v>8.5</v>
      </c>
      <c r="X130" s="49">
        <v>6.8</v>
      </c>
      <c r="Y130" s="49">
        <v>6.1</v>
      </c>
      <c r="Z130" s="49">
        <v>5.4</v>
      </c>
      <c r="AA130" s="49">
        <v>5.4</v>
      </c>
    </row>
    <row r="131" spans="2:27">
      <c r="B131" s="9" t="s">
        <v>116</v>
      </c>
      <c r="G131" s="12">
        <v>0.8750267036957915</v>
      </c>
      <c r="H131" s="5">
        <v>7.43</v>
      </c>
      <c r="I131" s="5">
        <v>10.86</v>
      </c>
      <c r="J131" s="5">
        <v>9.83</v>
      </c>
      <c r="K131" s="5">
        <v>11.26</v>
      </c>
      <c r="L131" s="49">
        <v>42.2</v>
      </c>
      <c r="M131" s="49">
        <v>25.3</v>
      </c>
      <c r="N131" s="49">
        <v>12.7</v>
      </c>
      <c r="O131" s="49">
        <v>6.5</v>
      </c>
      <c r="P131" s="49">
        <v>3.3</v>
      </c>
      <c r="Q131" s="49">
        <v>1.7</v>
      </c>
      <c r="R131" s="49">
        <v>0.9</v>
      </c>
      <c r="S131" s="49">
        <v>0.5</v>
      </c>
      <c r="T131" s="49">
        <v>0.4</v>
      </c>
      <c r="U131" s="49">
        <v>0.3</v>
      </c>
      <c r="V131" s="49">
        <v>0.3</v>
      </c>
      <c r="W131" s="49">
        <v>0.2</v>
      </c>
      <c r="X131" s="49">
        <v>0.2</v>
      </c>
      <c r="Y131" s="49">
        <v>0.1</v>
      </c>
      <c r="Z131" s="49">
        <v>0.1</v>
      </c>
      <c r="AA131" s="49">
        <v>0.1</v>
      </c>
    </row>
    <row r="132" spans="2:27" s="4" customFormat="1">
      <c r="B132" s="9" t="s">
        <v>123</v>
      </c>
      <c r="E132" s="22"/>
      <c r="F132" s="22"/>
      <c r="G132" s="12">
        <v>0.8750267036957915</v>
      </c>
      <c r="H132" s="5">
        <v>6.42</v>
      </c>
      <c r="I132" s="5">
        <v>9.6199999999999992</v>
      </c>
      <c r="J132" s="5">
        <v>8.65</v>
      </c>
      <c r="K132" s="5">
        <v>10.23</v>
      </c>
      <c r="L132" s="49">
        <v>70.8</v>
      </c>
      <c r="M132" s="49">
        <v>42.6</v>
      </c>
      <c r="N132" s="49">
        <v>21.5</v>
      </c>
      <c r="O132" s="49">
        <v>10.8</v>
      </c>
      <c r="P132" s="49">
        <v>5.5</v>
      </c>
      <c r="Q132" s="49">
        <v>2.9</v>
      </c>
      <c r="R132" s="49">
        <v>1.5</v>
      </c>
      <c r="S132" s="49">
        <v>0.9</v>
      </c>
      <c r="T132" s="49">
        <v>0.6</v>
      </c>
      <c r="U132" s="49">
        <v>0.5</v>
      </c>
      <c r="V132" s="49">
        <v>0.4</v>
      </c>
      <c r="W132" s="49">
        <v>0.4</v>
      </c>
      <c r="X132" s="49">
        <v>0.3</v>
      </c>
      <c r="Y132" s="49">
        <v>0.2</v>
      </c>
      <c r="Z132" s="49">
        <v>0.2</v>
      </c>
      <c r="AA132" s="49">
        <v>0.2</v>
      </c>
    </row>
    <row r="133" spans="2:27" s="4" customFormat="1">
      <c r="B133" s="9" t="s">
        <v>130</v>
      </c>
      <c r="E133" s="22"/>
      <c r="F133" s="22"/>
      <c r="G133" s="12">
        <v>0.8750267036957915</v>
      </c>
      <c r="H133" s="5">
        <v>5.59</v>
      </c>
      <c r="I133" s="5">
        <v>8.6300000000000008</v>
      </c>
      <c r="J133" s="5">
        <v>7.66</v>
      </c>
      <c r="K133" s="5">
        <v>9.19</v>
      </c>
      <c r="L133" s="49">
        <v>131.5</v>
      </c>
      <c r="M133" s="49">
        <v>79.099999999999994</v>
      </c>
      <c r="N133" s="49">
        <v>39.6</v>
      </c>
      <c r="O133" s="49">
        <v>20</v>
      </c>
      <c r="P133" s="49">
        <v>10.199999999999999</v>
      </c>
      <c r="Q133" s="49">
        <v>5.2</v>
      </c>
      <c r="R133" s="49">
        <v>2.8</v>
      </c>
      <c r="S133" s="49">
        <v>1.5</v>
      </c>
      <c r="T133" s="49">
        <v>1.1000000000000001</v>
      </c>
      <c r="U133" s="49">
        <v>0.9</v>
      </c>
      <c r="V133" s="49">
        <v>0.7</v>
      </c>
      <c r="W133" s="49">
        <v>0.6</v>
      </c>
      <c r="X133" s="49">
        <v>0.5</v>
      </c>
      <c r="Y133" s="49">
        <v>0.4</v>
      </c>
      <c r="Z133" s="49">
        <v>0.4</v>
      </c>
      <c r="AA133" s="49">
        <v>0.4</v>
      </c>
    </row>
    <row r="134" spans="2:27" s="4" customFormat="1">
      <c r="B134" s="9" t="s">
        <v>137</v>
      </c>
      <c r="E134" s="22"/>
      <c r="F134" s="22"/>
      <c r="G134" s="12">
        <v>0.8750267036957915</v>
      </c>
      <c r="H134" s="5">
        <v>4.96</v>
      </c>
      <c r="I134" s="5">
        <v>7.89</v>
      </c>
      <c r="J134" s="5">
        <v>6.98</v>
      </c>
      <c r="K134" s="5">
        <v>8.48</v>
      </c>
      <c r="L134" s="49">
        <v>250.5</v>
      </c>
      <c r="M134" s="49">
        <v>150.69999999999999</v>
      </c>
      <c r="N134" s="49">
        <v>75.5</v>
      </c>
      <c r="O134" s="49">
        <v>38.1</v>
      </c>
      <c r="P134" s="49">
        <v>19.3</v>
      </c>
      <c r="Q134" s="49">
        <v>9.9</v>
      </c>
      <c r="R134" s="49">
        <v>5.2</v>
      </c>
      <c r="S134" s="49">
        <v>2.9</v>
      </c>
      <c r="T134" s="49">
        <v>2.1</v>
      </c>
      <c r="U134" s="49">
        <v>1.7</v>
      </c>
      <c r="V134" s="49">
        <v>1.3</v>
      </c>
      <c r="W134" s="49">
        <v>1.1000000000000001</v>
      </c>
      <c r="X134" s="49">
        <v>0.9</v>
      </c>
      <c r="Y134" s="49">
        <v>0.8</v>
      </c>
      <c r="Z134" s="49">
        <v>0.7</v>
      </c>
      <c r="AA134" s="49">
        <v>0.7</v>
      </c>
    </row>
    <row r="135" spans="2:27" s="4" customFormat="1">
      <c r="B135" s="9" t="s">
        <v>144</v>
      </c>
      <c r="E135" s="22"/>
      <c r="F135" s="22"/>
      <c r="G135" s="12">
        <v>0.8750267036957915</v>
      </c>
      <c r="H135" s="5">
        <v>4.32</v>
      </c>
      <c r="I135" s="5">
        <v>7.21</v>
      </c>
      <c r="J135" s="5">
        <v>6.4</v>
      </c>
      <c r="K135" s="5">
        <v>7.84</v>
      </c>
      <c r="L135" s="49">
        <v>492</v>
      </c>
      <c r="M135" s="49">
        <v>295.5</v>
      </c>
      <c r="N135" s="49">
        <v>148.30000000000001</v>
      </c>
      <c r="O135" s="49">
        <v>74.599999999999994</v>
      </c>
      <c r="P135" s="49">
        <v>37.799999999999997</v>
      </c>
      <c r="Q135" s="49">
        <v>19.399999999999999</v>
      </c>
      <c r="R135" s="49">
        <v>10.199999999999999</v>
      </c>
      <c r="S135" s="49">
        <v>5.6</v>
      </c>
      <c r="T135" s="49">
        <v>4.0999999999999996</v>
      </c>
      <c r="U135" s="49">
        <v>3.3</v>
      </c>
      <c r="V135" s="49">
        <v>2.5</v>
      </c>
      <c r="W135" s="49">
        <v>2.2000000000000002</v>
      </c>
      <c r="X135" s="49">
        <v>1.8</v>
      </c>
      <c r="Y135" s="49">
        <v>1.6</v>
      </c>
      <c r="Z135" s="49">
        <v>1.4</v>
      </c>
      <c r="AA135" s="49">
        <v>1.4</v>
      </c>
    </row>
    <row r="136" spans="2:27" s="4" customFormat="1">
      <c r="B136" s="9" t="s">
        <v>151</v>
      </c>
      <c r="E136" s="22"/>
      <c r="F136" s="22"/>
      <c r="G136" s="12">
        <v>0.8750267036957915</v>
      </c>
      <c r="H136" s="5">
        <v>4</v>
      </c>
      <c r="I136" s="5">
        <v>6.86</v>
      </c>
      <c r="J136" s="5">
        <v>6.05</v>
      </c>
      <c r="K136" s="5">
        <v>7.51</v>
      </c>
      <c r="L136" s="49">
        <v>971.4</v>
      </c>
      <c r="M136" s="49">
        <v>583.70000000000005</v>
      </c>
      <c r="N136" s="49">
        <v>292.7</v>
      </c>
      <c r="O136" s="49">
        <v>147.30000000000001</v>
      </c>
      <c r="P136" s="49">
        <v>74.7</v>
      </c>
      <c r="Q136" s="49">
        <v>38.299999999999997</v>
      </c>
      <c r="R136" s="49">
        <v>20.100000000000001</v>
      </c>
      <c r="S136" s="49">
        <v>11</v>
      </c>
      <c r="T136" s="49">
        <v>8</v>
      </c>
      <c r="U136" s="49">
        <v>6.5</v>
      </c>
      <c r="V136" s="49">
        <v>4.9000000000000004</v>
      </c>
      <c r="W136" s="49">
        <v>4.2</v>
      </c>
      <c r="X136" s="49">
        <v>3.4</v>
      </c>
      <c r="Y136" s="49">
        <v>3</v>
      </c>
      <c r="Z136" s="49">
        <v>2.7</v>
      </c>
      <c r="AA136" s="49">
        <v>2.7</v>
      </c>
    </row>
    <row r="137" spans="2:27" s="4" customFormat="1">
      <c r="B137" s="9" t="s">
        <v>158</v>
      </c>
      <c r="E137" s="22"/>
      <c r="F137" s="22"/>
      <c r="G137" s="12">
        <v>0.8750267036957915</v>
      </c>
      <c r="H137" s="5">
        <v>3.9</v>
      </c>
      <c r="I137" s="5">
        <v>6.66</v>
      </c>
      <c r="J137" s="5">
        <v>5.87</v>
      </c>
      <c r="K137" s="5">
        <v>7.32</v>
      </c>
      <c r="L137" s="49">
        <v>1936.2</v>
      </c>
      <c r="M137" s="49">
        <v>1163.0999999999999</v>
      </c>
      <c r="N137" s="49">
        <v>583.4</v>
      </c>
      <c r="O137" s="49">
        <v>293.60000000000002</v>
      </c>
      <c r="P137" s="49">
        <v>148.69999999999999</v>
      </c>
      <c r="Q137" s="49">
        <v>76.3</v>
      </c>
      <c r="R137" s="49">
        <v>40</v>
      </c>
      <c r="S137" s="49">
        <v>21.9</v>
      </c>
      <c r="T137" s="49">
        <v>15.8</v>
      </c>
      <c r="U137" s="49">
        <v>12.9</v>
      </c>
      <c r="V137" s="49">
        <v>9.6999999999999993</v>
      </c>
      <c r="W137" s="49">
        <v>8.3000000000000007</v>
      </c>
      <c r="X137" s="49">
        <v>6.7</v>
      </c>
      <c r="Y137" s="49">
        <v>6</v>
      </c>
      <c r="Z137" s="49">
        <v>5.4</v>
      </c>
      <c r="AA137" s="49">
        <v>5.4</v>
      </c>
    </row>
    <row r="138" spans="2:27">
      <c r="B138" s="9" t="s">
        <v>117</v>
      </c>
      <c r="G138" s="12">
        <v>0.90921198668146508</v>
      </c>
      <c r="H138" s="5">
        <v>8.65</v>
      </c>
      <c r="I138" s="5">
        <v>12.11</v>
      </c>
      <c r="J138" s="5">
        <v>10.73</v>
      </c>
      <c r="K138" s="5">
        <v>12.58</v>
      </c>
      <c r="L138" s="49">
        <v>40.4</v>
      </c>
      <c r="M138" s="49">
        <v>24</v>
      </c>
      <c r="N138" s="49">
        <v>12.2</v>
      </c>
      <c r="O138" s="49">
        <v>6.1</v>
      </c>
      <c r="P138" s="49">
        <v>3.2</v>
      </c>
      <c r="Q138" s="49">
        <v>1.7</v>
      </c>
      <c r="R138" s="49">
        <v>0.9</v>
      </c>
      <c r="S138" s="49">
        <v>0.5</v>
      </c>
      <c r="T138" s="49">
        <v>0.4</v>
      </c>
      <c r="U138" s="49">
        <v>0.3</v>
      </c>
      <c r="V138" s="49">
        <v>0.3</v>
      </c>
      <c r="W138" s="49">
        <v>0.2</v>
      </c>
      <c r="X138" s="49">
        <v>0.2</v>
      </c>
      <c r="Y138" s="49">
        <v>0.1</v>
      </c>
      <c r="Z138" s="49">
        <v>0.1</v>
      </c>
      <c r="AA138" s="49">
        <v>0.1</v>
      </c>
    </row>
    <row r="139" spans="2:27" s="4" customFormat="1">
      <c r="B139" s="9" t="s">
        <v>124</v>
      </c>
      <c r="E139" s="22"/>
      <c r="F139" s="22"/>
      <c r="G139" s="12">
        <v>0.90921198668146508</v>
      </c>
      <c r="H139" s="5">
        <v>7.35</v>
      </c>
      <c r="I139" s="5">
        <v>10.61</v>
      </c>
      <c r="J139" s="5">
        <v>9.48</v>
      </c>
      <c r="K139" s="5">
        <v>11.2</v>
      </c>
      <c r="L139" s="49">
        <v>69.400000000000006</v>
      </c>
      <c r="M139" s="49">
        <v>41.6</v>
      </c>
      <c r="N139" s="49">
        <v>21</v>
      </c>
      <c r="O139" s="49">
        <v>10.6</v>
      </c>
      <c r="P139" s="49">
        <v>5.4</v>
      </c>
      <c r="Q139" s="49">
        <v>2.8</v>
      </c>
      <c r="R139" s="49">
        <v>1.5</v>
      </c>
      <c r="S139" s="49">
        <v>0.8</v>
      </c>
      <c r="T139" s="49">
        <v>0.6</v>
      </c>
      <c r="U139" s="49">
        <v>0.5</v>
      </c>
      <c r="V139" s="49">
        <v>0.4</v>
      </c>
      <c r="W139" s="49">
        <v>0.4</v>
      </c>
      <c r="X139" s="49">
        <v>0.3</v>
      </c>
      <c r="Y139" s="49">
        <v>0.2</v>
      </c>
      <c r="Z139" s="49">
        <v>0.2</v>
      </c>
      <c r="AA139" s="49">
        <v>0.2</v>
      </c>
    </row>
    <row r="140" spans="2:27" s="4" customFormat="1">
      <c r="B140" s="9" t="s">
        <v>131</v>
      </c>
      <c r="E140" s="22"/>
      <c r="F140" s="22"/>
      <c r="G140" s="12">
        <v>0.90921198668146508</v>
      </c>
      <c r="H140" s="5">
        <v>6.29</v>
      </c>
      <c r="I140" s="5">
        <v>9.42</v>
      </c>
      <c r="J140" s="5">
        <v>8.3699999999999992</v>
      </c>
      <c r="K140" s="5">
        <v>10.01</v>
      </c>
      <c r="L140" s="49">
        <v>127.4</v>
      </c>
      <c r="M140" s="49">
        <v>76.599999999999994</v>
      </c>
      <c r="N140" s="49">
        <v>38.4</v>
      </c>
      <c r="O140" s="49">
        <v>19.3</v>
      </c>
      <c r="P140" s="49">
        <v>9.9</v>
      </c>
      <c r="Q140" s="49">
        <v>5.0999999999999996</v>
      </c>
      <c r="R140" s="49">
        <v>2.7</v>
      </c>
      <c r="S140" s="49">
        <v>1.5</v>
      </c>
      <c r="T140" s="49">
        <v>1.1000000000000001</v>
      </c>
      <c r="U140" s="49">
        <v>0.9</v>
      </c>
      <c r="V140" s="49">
        <v>0.7</v>
      </c>
      <c r="W140" s="49">
        <v>0.6</v>
      </c>
      <c r="X140" s="49">
        <v>0.5</v>
      </c>
      <c r="Y140" s="49">
        <v>0.4</v>
      </c>
      <c r="Z140" s="49">
        <v>0.4</v>
      </c>
      <c r="AA140" s="49">
        <v>0.4</v>
      </c>
    </row>
    <row r="141" spans="2:27" s="4" customFormat="1">
      <c r="B141" s="9" t="s">
        <v>138</v>
      </c>
      <c r="E141" s="22"/>
      <c r="F141" s="22"/>
      <c r="G141" s="12">
        <v>0.90921198668146508</v>
      </c>
      <c r="H141" s="5">
        <v>5.63</v>
      </c>
      <c r="I141" s="5">
        <v>8.73</v>
      </c>
      <c r="J141" s="5">
        <v>7.68</v>
      </c>
      <c r="K141" s="5">
        <v>9.3699999999999992</v>
      </c>
      <c r="L141" s="49">
        <v>243.4</v>
      </c>
      <c r="M141" s="49">
        <v>146.30000000000001</v>
      </c>
      <c r="N141" s="49">
        <v>73.3</v>
      </c>
      <c r="O141" s="49">
        <v>37</v>
      </c>
      <c r="P141" s="49">
        <v>18.8</v>
      </c>
      <c r="Q141" s="49">
        <v>9.6999999999999993</v>
      </c>
      <c r="R141" s="49">
        <v>5.0999999999999996</v>
      </c>
      <c r="S141" s="49">
        <v>2.8</v>
      </c>
      <c r="T141" s="49">
        <v>2.1</v>
      </c>
      <c r="U141" s="49">
        <v>1.7</v>
      </c>
      <c r="V141" s="49">
        <v>1.3</v>
      </c>
      <c r="W141" s="49">
        <v>1.1000000000000001</v>
      </c>
      <c r="X141" s="49">
        <v>0.9</v>
      </c>
      <c r="Y141" s="49">
        <v>0.8</v>
      </c>
      <c r="Z141" s="49">
        <v>0.7</v>
      </c>
      <c r="AA141" s="49">
        <v>0.7</v>
      </c>
    </row>
    <row r="142" spans="2:27" s="4" customFormat="1">
      <c r="B142" s="9" t="s">
        <v>145</v>
      </c>
      <c r="E142" s="22"/>
      <c r="F142" s="22"/>
      <c r="G142" s="12">
        <v>0.90921198668146508</v>
      </c>
      <c r="H142" s="5">
        <v>5</v>
      </c>
      <c r="I142" s="5">
        <v>7.99</v>
      </c>
      <c r="J142" s="5">
        <v>7.02</v>
      </c>
      <c r="K142" s="5">
        <v>8.6300000000000008</v>
      </c>
      <c r="L142" s="49">
        <v>476.2</v>
      </c>
      <c r="M142" s="49">
        <v>285.89999999999998</v>
      </c>
      <c r="N142" s="49">
        <v>143.5</v>
      </c>
      <c r="O142" s="49">
        <v>72.3</v>
      </c>
      <c r="P142" s="49">
        <v>36.6</v>
      </c>
      <c r="Q142" s="49">
        <v>18.8</v>
      </c>
      <c r="R142" s="49">
        <v>9.9</v>
      </c>
      <c r="S142" s="49">
        <v>5.5</v>
      </c>
      <c r="T142" s="49">
        <v>4</v>
      </c>
      <c r="U142" s="49">
        <v>3.2</v>
      </c>
      <c r="V142" s="49">
        <v>2.5</v>
      </c>
      <c r="W142" s="49">
        <v>2.1</v>
      </c>
      <c r="X142" s="49">
        <v>1.7</v>
      </c>
      <c r="Y142" s="49">
        <v>1.6</v>
      </c>
      <c r="Z142" s="49">
        <v>1.3</v>
      </c>
      <c r="AA142" s="49">
        <v>1.3</v>
      </c>
    </row>
    <row r="143" spans="2:27" s="4" customFormat="1">
      <c r="B143" s="9" t="s">
        <v>152</v>
      </c>
      <c r="E143" s="22"/>
      <c r="F143" s="22"/>
      <c r="G143" s="12">
        <v>0.90921198668146508</v>
      </c>
      <c r="H143" s="5">
        <v>4.58</v>
      </c>
      <c r="I143" s="5">
        <v>7.51</v>
      </c>
      <c r="J143" s="5">
        <v>6.6</v>
      </c>
      <c r="K143" s="5">
        <v>8.18</v>
      </c>
      <c r="L143" s="49">
        <v>942.4</v>
      </c>
      <c r="M143" s="49">
        <v>566.29999999999995</v>
      </c>
      <c r="N143" s="49">
        <v>284.2</v>
      </c>
      <c r="O143" s="49">
        <v>143</v>
      </c>
      <c r="P143" s="49">
        <v>72.5</v>
      </c>
      <c r="Q143" s="49">
        <v>37.200000000000003</v>
      </c>
      <c r="R143" s="49">
        <v>19.600000000000001</v>
      </c>
      <c r="S143" s="49">
        <v>10.7</v>
      </c>
      <c r="T143" s="49">
        <v>7.8</v>
      </c>
      <c r="U143" s="49">
        <v>6.3</v>
      </c>
      <c r="V143" s="49">
        <v>4.8</v>
      </c>
      <c r="W143" s="49">
        <v>4.0999999999999996</v>
      </c>
      <c r="X143" s="49">
        <v>3.4</v>
      </c>
      <c r="Y143" s="49">
        <v>3</v>
      </c>
      <c r="Z143" s="49">
        <v>2.7</v>
      </c>
      <c r="AA143" s="49">
        <v>2.7</v>
      </c>
    </row>
    <row r="144" spans="2:27" s="4" customFormat="1">
      <c r="B144" s="9" t="s">
        <v>159</v>
      </c>
      <c r="E144" s="22"/>
      <c r="F144" s="22"/>
      <c r="G144" s="12">
        <v>0.90921198668146508</v>
      </c>
      <c r="H144" s="5">
        <v>4.4000000000000004</v>
      </c>
      <c r="I144" s="5">
        <v>7.33</v>
      </c>
      <c r="J144" s="5">
        <v>6.35</v>
      </c>
      <c r="K144" s="5">
        <v>7.95</v>
      </c>
      <c r="L144" s="49">
        <v>1874.8</v>
      </c>
      <c r="M144" s="49">
        <v>1126.5</v>
      </c>
      <c r="N144" s="49">
        <v>565.20000000000005</v>
      </c>
      <c r="O144" s="49">
        <v>284.5</v>
      </c>
      <c r="P144" s="49">
        <v>144.1</v>
      </c>
      <c r="Q144" s="49">
        <v>74</v>
      </c>
      <c r="R144" s="49">
        <v>38.9</v>
      </c>
      <c r="S144" s="49">
        <v>21.3</v>
      </c>
      <c r="T144" s="49">
        <v>15.4</v>
      </c>
      <c r="U144" s="49">
        <v>12.5</v>
      </c>
      <c r="V144" s="49">
        <v>9.5</v>
      </c>
      <c r="W144" s="49">
        <v>8.1999999999999993</v>
      </c>
      <c r="X144" s="49">
        <v>6.6</v>
      </c>
      <c r="Y144" s="49">
        <v>5.9</v>
      </c>
      <c r="Z144" s="49">
        <v>5.3</v>
      </c>
      <c r="AA144" s="49">
        <v>5.3</v>
      </c>
    </row>
    <row r="145" spans="2:28">
      <c r="B145" s="9" t="s">
        <v>118</v>
      </c>
      <c r="G145" s="12">
        <v>0.94117647058823528</v>
      </c>
      <c r="H145" s="5">
        <v>10.14</v>
      </c>
      <c r="I145" s="5">
        <v>13.91</v>
      </c>
      <c r="J145" s="5">
        <v>12.21</v>
      </c>
      <c r="K145" s="5">
        <v>14.26</v>
      </c>
      <c r="L145" s="49">
        <v>39.4</v>
      </c>
      <c r="M145" s="49">
        <v>23.8</v>
      </c>
      <c r="N145" s="49">
        <v>11.9</v>
      </c>
      <c r="O145" s="49">
        <v>6.1</v>
      </c>
      <c r="P145" s="49">
        <v>3.1</v>
      </c>
      <c r="Q145" s="49">
        <v>1.6</v>
      </c>
      <c r="R145" s="49">
        <v>0.9</v>
      </c>
      <c r="S145" s="49">
        <v>0.5</v>
      </c>
      <c r="T145" s="49">
        <v>0.4</v>
      </c>
      <c r="U145" s="49">
        <v>0.3</v>
      </c>
      <c r="V145" s="49">
        <v>0.3</v>
      </c>
      <c r="W145" s="49">
        <v>0.2</v>
      </c>
      <c r="X145" s="49">
        <v>0.2</v>
      </c>
      <c r="Y145" s="49">
        <v>0.1</v>
      </c>
      <c r="Z145" s="49">
        <v>0.1</v>
      </c>
      <c r="AA145" s="49">
        <v>0.1</v>
      </c>
    </row>
    <row r="146" spans="2:28" s="4" customFormat="1">
      <c r="B146" s="9" t="s">
        <v>125</v>
      </c>
      <c r="E146" s="22"/>
      <c r="F146" s="22"/>
      <c r="G146" s="12">
        <v>0.94117647058823528</v>
      </c>
      <c r="H146" s="5">
        <v>8</v>
      </c>
      <c r="I146" s="5">
        <v>11.5</v>
      </c>
      <c r="J146" s="5">
        <v>10.32</v>
      </c>
      <c r="K146" s="5">
        <v>11.96</v>
      </c>
      <c r="L146" s="49">
        <v>66.7</v>
      </c>
      <c r="M146" s="49">
        <v>40.299999999999997</v>
      </c>
      <c r="N146" s="49">
        <v>20.2</v>
      </c>
      <c r="O146" s="49">
        <v>10.199999999999999</v>
      </c>
      <c r="P146" s="49">
        <v>5.2</v>
      </c>
      <c r="Q146" s="49">
        <v>2.7</v>
      </c>
      <c r="R146" s="49">
        <v>1.4</v>
      </c>
      <c r="S146" s="49">
        <v>0.8</v>
      </c>
      <c r="T146" s="49">
        <v>0.6</v>
      </c>
      <c r="U146" s="49">
        <v>0.5</v>
      </c>
      <c r="V146" s="49">
        <v>0.4</v>
      </c>
      <c r="W146" s="49">
        <v>0.4</v>
      </c>
      <c r="X146" s="49">
        <v>0.3</v>
      </c>
      <c r="Y146" s="49">
        <v>0.2</v>
      </c>
      <c r="Z146" s="49">
        <v>0.2</v>
      </c>
      <c r="AA146" s="49">
        <v>0.2</v>
      </c>
    </row>
    <row r="147" spans="2:28" s="4" customFormat="1">
      <c r="B147" s="9" t="s">
        <v>132</v>
      </c>
      <c r="E147" s="22"/>
      <c r="F147" s="22"/>
      <c r="G147" s="12">
        <v>0.94117647058823528</v>
      </c>
      <c r="H147" s="5">
        <v>6.95</v>
      </c>
      <c r="I147" s="5">
        <v>10.26</v>
      </c>
      <c r="J147" s="5">
        <v>9.06</v>
      </c>
      <c r="K147" s="5">
        <v>10.74</v>
      </c>
      <c r="L147" s="49">
        <v>124.2</v>
      </c>
      <c r="M147" s="49">
        <v>74.400000000000006</v>
      </c>
      <c r="N147" s="49">
        <v>37.4</v>
      </c>
      <c r="O147" s="49">
        <v>18.899999999999999</v>
      </c>
      <c r="P147" s="49">
        <v>9.6</v>
      </c>
      <c r="Q147" s="49">
        <v>5</v>
      </c>
      <c r="R147" s="49">
        <v>2.6</v>
      </c>
      <c r="S147" s="49">
        <v>1.5</v>
      </c>
      <c r="T147" s="49">
        <v>1.1000000000000001</v>
      </c>
      <c r="U147" s="49">
        <v>0.9</v>
      </c>
      <c r="V147" s="49">
        <v>0.7</v>
      </c>
      <c r="W147" s="49">
        <v>0.6</v>
      </c>
      <c r="X147" s="49">
        <v>0.5</v>
      </c>
      <c r="Y147" s="49">
        <v>0.4</v>
      </c>
      <c r="Z147" s="49">
        <v>0.4</v>
      </c>
      <c r="AA147" s="49">
        <v>0.4</v>
      </c>
    </row>
    <row r="148" spans="2:28" s="4" customFormat="1">
      <c r="B148" s="9" t="s">
        <v>139</v>
      </c>
      <c r="E148" s="22"/>
      <c r="F148" s="22"/>
      <c r="G148" s="12">
        <v>0.94117647058823528</v>
      </c>
      <c r="H148" s="5">
        <v>6.35</v>
      </c>
      <c r="I148" s="5">
        <v>9.5299999999999994</v>
      </c>
      <c r="J148" s="5">
        <v>8.39</v>
      </c>
      <c r="K148" s="5">
        <v>10.14</v>
      </c>
      <c r="L148" s="49">
        <v>236.1</v>
      </c>
      <c r="M148" s="49">
        <v>141.80000000000001</v>
      </c>
      <c r="N148" s="49">
        <v>71.2</v>
      </c>
      <c r="O148" s="49">
        <v>35.799999999999997</v>
      </c>
      <c r="P148" s="49">
        <v>18.2</v>
      </c>
      <c r="Q148" s="49">
        <v>9.4</v>
      </c>
      <c r="R148" s="49">
        <v>5</v>
      </c>
      <c r="S148" s="49">
        <v>2.8</v>
      </c>
      <c r="T148" s="49">
        <v>2</v>
      </c>
      <c r="U148" s="49">
        <v>1.6</v>
      </c>
      <c r="V148" s="49">
        <v>1.3</v>
      </c>
      <c r="W148" s="49">
        <v>1.1000000000000001</v>
      </c>
      <c r="X148" s="49">
        <v>0.9</v>
      </c>
      <c r="Y148" s="49">
        <v>0.8</v>
      </c>
      <c r="Z148" s="49">
        <v>0.7</v>
      </c>
      <c r="AA148" s="49">
        <v>0.7</v>
      </c>
    </row>
    <row r="149" spans="2:28" s="4" customFormat="1">
      <c r="B149" s="9" t="s">
        <v>146</v>
      </c>
      <c r="E149" s="22"/>
      <c r="F149" s="22"/>
      <c r="G149" s="12">
        <v>0.94117647058823528</v>
      </c>
      <c r="H149" s="5">
        <v>5.71</v>
      </c>
      <c r="I149" s="5">
        <v>8.83</v>
      </c>
      <c r="J149" s="5">
        <v>7.71</v>
      </c>
      <c r="K149" s="5">
        <v>9.4</v>
      </c>
      <c r="L149" s="49">
        <v>462.5</v>
      </c>
      <c r="M149" s="49">
        <v>277.8</v>
      </c>
      <c r="N149" s="49">
        <v>139.4</v>
      </c>
      <c r="O149" s="49">
        <v>70.2</v>
      </c>
      <c r="P149" s="49">
        <v>35.6</v>
      </c>
      <c r="Q149" s="49">
        <v>18.3</v>
      </c>
      <c r="R149" s="49">
        <v>9.6999999999999993</v>
      </c>
      <c r="S149" s="49">
        <v>5.3</v>
      </c>
      <c r="T149" s="49">
        <v>3.9</v>
      </c>
      <c r="U149" s="49">
        <v>3.2</v>
      </c>
      <c r="V149" s="49">
        <v>2.4</v>
      </c>
      <c r="W149" s="49">
        <v>2.1</v>
      </c>
      <c r="X149" s="49">
        <v>1.7</v>
      </c>
      <c r="Y149" s="49">
        <v>1.5</v>
      </c>
      <c r="Z149" s="49">
        <v>1.3</v>
      </c>
      <c r="AA149" s="49">
        <v>1.3</v>
      </c>
    </row>
    <row r="150" spans="2:28" s="4" customFormat="1">
      <c r="B150" s="9" t="s">
        <v>153</v>
      </c>
      <c r="E150" s="22"/>
      <c r="F150" s="22"/>
      <c r="G150" s="12">
        <v>0.94117647058823528</v>
      </c>
      <c r="H150" s="5">
        <v>5.24</v>
      </c>
      <c r="I150" s="5">
        <v>8.2899999999999991</v>
      </c>
      <c r="J150" s="5">
        <v>7.24</v>
      </c>
      <c r="K150" s="5">
        <v>8.89</v>
      </c>
      <c r="L150" s="49">
        <v>914.2</v>
      </c>
      <c r="M150" s="49">
        <v>549.20000000000005</v>
      </c>
      <c r="N150" s="49">
        <v>275.60000000000002</v>
      </c>
      <c r="O150" s="49">
        <v>138.69999999999999</v>
      </c>
      <c r="P150" s="49">
        <v>70.3</v>
      </c>
      <c r="Q150" s="49">
        <v>36.1</v>
      </c>
      <c r="R150" s="49">
        <v>19</v>
      </c>
      <c r="S150" s="49">
        <v>10.5</v>
      </c>
      <c r="T150" s="49">
        <v>7.6</v>
      </c>
      <c r="U150" s="49">
        <v>6.2</v>
      </c>
      <c r="V150" s="49">
        <v>4.7</v>
      </c>
      <c r="W150" s="49">
        <v>4.0999999999999996</v>
      </c>
      <c r="X150" s="49">
        <v>3.3</v>
      </c>
      <c r="Y150" s="49">
        <v>3</v>
      </c>
      <c r="Z150" s="49">
        <v>2.7</v>
      </c>
      <c r="AA150" s="49">
        <v>2.7</v>
      </c>
    </row>
    <row r="151" spans="2:28" s="4" customFormat="1">
      <c r="B151" s="9" t="s">
        <v>160</v>
      </c>
      <c r="E151" s="22"/>
      <c r="F151" s="22"/>
      <c r="G151" s="12">
        <v>0.94117647058823528</v>
      </c>
      <c r="H151" s="5">
        <v>4.99</v>
      </c>
      <c r="I151" s="5">
        <v>8.01</v>
      </c>
      <c r="J151" s="5">
        <v>6.99</v>
      </c>
      <c r="K151" s="5">
        <v>8.6300000000000008</v>
      </c>
      <c r="L151" s="49">
        <v>1819.6</v>
      </c>
      <c r="M151" s="49">
        <v>1093.2</v>
      </c>
      <c r="N151" s="49">
        <v>548.5</v>
      </c>
      <c r="O151" s="49">
        <v>276.10000000000002</v>
      </c>
      <c r="P151" s="49">
        <v>139.9</v>
      </c>
      <c r="Q151" s="49">
        <v>71.8</v>
      </c>
      <c r="R151" s="49">
        <v>37.799999999999997</v>
      </c>
      <c r="S151" s="49">
        <v>20.8</v>
      </c>
      <c r="T151" s="49">
        <v>15</v>
      </c>
      <c r="U151" s="49">
        <v>12.3</v>
      </c>
      <c r="V151" s="49">
        <v>9.3000000000000007</v>
      </c>
      <c r="W151" s="49">
        <v>8</v>
      </c>
      <c r="X151" s="49">
        <v>6.5</v>
      </c>
      <c r="Y151" s="49">
        <v>5.8</v>
      </c>
      <c r="Z151" s="49">
        <v>5.3</v>
      </c>
      <c r="AA151" s="49">
        <v>5.3</v>
      </c>
    </row>
    <row r="152" spans="2:28">
      <c r="B152" s="9" t="s">
        <v>161</v>
      </c>
      <c r="G152" s="12">
        <v>1</v>
      </c>
      <c r="H152" s="10">
        <v>12.29</v>
      </c>
      <c r="I152" s="10">
        <v>16.41</v>
      </c>
      <c r="J152" s="10">
        <v>14.36</v>
      </c>
      <c r="K152" s="10">
        <v>16.5</v>
      </c>
      <c r="L152" s="49">
        <v>9.5</v>
      </c>
      <c r="M152" s="49">
        <v>5.6</v>
      </c>
      <c r="N152" s="49">
        <v>2.8</v>
      </c>
      <c r="O152" s="49">
        <v>1.4</v>
      </c>
      <c r="P152" s="49">
        <v>0.7</v>
      </c>
      <c r="Q152" s="49">
        <v>0.4</v>
      </c>
      <c r="R152" s="49">
        <v>0.2</v>
      </c>
      <c r="S152" s="49">
        <v>0.05</v>
      </c>
      <c r="T152" s="49">
        <v>0.05</v>
      </c>
      <c r="U152" s="49">
        <v>0.05</v>
      </c>
      <c r="V152" s="49">
        <v>0.05</v>
      </c>
      <c r="W152" s="49">
        <v>0.05</v>
      </c>
      <c r="X152" s="49">
        <v>0.05</v>
      </c>
      <c r="Y152" s="49">
        <v>0.05</v>
      </c>
      <c r="Z152" s="49">
        <v>0.05</v>
      </c>
      <c r="AA152" s="49">
        <v>0.05</v>
      </c>
    </row>
    <row r="153" spans="2:28" s="52" customFormat="1">
      <c r="G153" s="12"/>
      <c r="H153" s="10"/>
      <c r="I153" s="10"/>
      <c r="J153" s="10"/>
      <c r="K153" s="10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</row>
    <row r="154" spans="2:28" s="52" customFormat="1">
      <c r="C154" s="52">
        <f>MIN(MAX(MATCH(DataRateO,K154:AA154,1),2),16)</f>
        <v>11</v>
      </c>
      <c r="E154" s="52">
        <f>MIN(MAX(MATCH(DataRateI,K154:AA154,1),2),16)</f>
        <v>11</v>
      </c>
      <c r="G154" s="12"/>
      <c r="H154" s="10"/>
      <c r="I154" s="10"/>
      <c r="J154" s="10"/>
      <c r="K154" s="55">
        <v>0</v>
      </c>
      <c r="L154" s="54">
        <v>9.6</v>
      </c>
      <c r="M154" s="54">
        <v>16</v>
      </c>
      <c r="N154" s="54">
        <v>32</v>
      </c>
      <c r="O154" s="54">
        <v>64</v>
      </c>
      <c r="P154" s="54">
        <v>128</v>
      </c>
      <c r="Q154" s="54">
        <v>256</v>
      </c>
      <c r="R154" s="54">
        <v>512</v>
      </c>
      <c r="S154" s="54">
        <v>1024</v>
      </c>
      <c r="T154" s="54">
        <v>1544</v>
      </c>
      <c r="U154" s="54">
        <v>2048</v>
      </c>
      <c r="V154" s="54">
        <v>3152</v>
      </c>
      <c r="W154" s="54">
        <v>4096</v>
      </c>
      <c r="X154" s="54">
        <v>6312</v>
      </c>
      <c r="Y154" s="54">
        <v>8448</v>
      </c>
      <c r="Z154" s="54">
        <v>10000</v>
      </c>
      <c r="AA154" s="54">
        <v>20000</v>
      </c>
      <c r="AB154" s="54">
        <v>30000</v>
      </c>
    </row>
    <row r="156" spans="2:28">
      <c r="B156" s="11"/>
      <c r="G156" s="13"/>
    </row>
    <row r="157" spans="2:28">
      <c r="B157" s="11"/>
      <c r="G157" s="13"/>
    </row>
    <row r="158" spans="2:28">
      <c r="B158" s="11"/>
      <c r="G158" s="13"/>
    </row>
    <row r="159" spans="2:28">
      <c r="B159" s="11"/>
      <c r="G159" s="13"/>
    </row>
    <row r="160" spans="2:28">
      <c r="B160" s="11"/>
      <c r="G160" s="13"/>
    </row>
    <row r="161" spans="2:7">
      <c r="B161" s="11"/>
      <c r="G161" s="13"/>
    </row>
    <row r="163" spans="2:7">
      <c r="B163" s="53" t="s">
        <v>209</v>
      </c>
      <c r="C163" s="92">
        <f>+(EbNoAUser+10*LOG10(1000*DataRateO))-10*LOG10(1000*OccupiedBwA)</f>
        <v>10.307240072732426</v>
      </c>
      <c r="D163" s="92">
        <f>+(EbNoBUser+10*LOG10(1000*DataRateO))-10*LOG10(1000*OccupiedBwB)</f>
        <v>10.429584636902547</v>
      </c>
      <c r="E163" s="92">
        <f>+(EbNoCUser+10*LOG10(1000*DataRateI))-10*LOG10(1000*OccupiedBwC)</f>
        <v>11.523777245765615</v>
      </c>
      <c r="F163" s="92">
        <f>+(EbNoDUser+10*LOG10(1000*DataRateI))-10*LOG10(1000*OccupiedBwD)</f>
        <v>11.646121809935735</v>
      </c>
    </row>
    <row r="164" spans="2:7">
      <c r="B164" s="53" t="s">
        <v>208</v>
      </c>
      <c r="C164" s="92">
        <f>+(EbNoAUser+10*LOG10(1000*DataRateO))</f>
        <v>68.983299523037928</v>
      </c>
      <c r="D164" s="92">
        <f>+(EbNoBUser+10*LOG10(1000*DataRateO))</f>
        <v>68.983299523037928</v>
      </c>
      <c r="E164" s="92">
        <f>+(EbNoCUser+10*LOG10(1000*DataRateI))</f>
        <v>69.79329952303793</v>
      </c>
      <c r="F164" s="92">
        <f>+(EbNoDUser+10*LOG10(1000*DataRateI))</f>
        <v>69.79329952303793</v>
      </c>
    </row>
    <row r="165" spans="2:7">
      <c r="B165" s="53" t="s">
        <v>210</v>
      </c>
      <c r="C165" s="92">
        <f>10*LOG10((10^(EbNoAUser/10)*1000*DataRateO+1000*DataRateO/SpecEffA)/(1000*DataRateO/SpecEffA))</f>
        <v>10.694117033016923</v>
      </c>
      <c r="D165" s="92">
        <f>10*LOG10((10^(EbNoBUser/10)*1000*DataRateO+1000*DataRateO/SpecEffB)/(1000*DataRateO/SpecEffB))</f>
        <v>10.806167584333126</v>
      </c>
      <c r="E165" s="92">
        <f>10*LOG10((10^(EbNoCUser/10)*1000*DataRateI+1000*DataRateI/SpecEffC)/(1000*DataRateI/SpecEffC))</f>
        <v>11.819270884276436</v>
      </c>
      <c r="F165" s="92">
        <f>10*LOG10((10^(EbNoDUser/10)*1000*DataRateI+1000*DataRateI/SpecEffD)/(1000*DataRateI/SpecEffD))</f>
        <v>11.933673047968764</v>
      </c>
    </row>
    <row r="166" spans="2:7">
      <c r="C166" s="92">
        <f>+VLOOKUP(CarrierPwrAB,B163:F165,2,FALSE)</f>
        <v>10.307240072732426</v>
      </c>
      <c r="D166" s="92">
        <f>+VLOOKUP(CarrierPwrAB,B163:F165,3,FALSE)</f>
        <v>10.429584636902547</v>
      </c>
      <c r="E166" s="92">
        <f>+VLOOKUP(CarrierPwrCD,B163:F165,4,FALSE)</f>
        <v>11.523777245765615</v>
      </c>
      <c r="F166" s="92">
        <f>+VLOOKUP(CarrierPwrCD,B163:F165,5,FALSE)</f>
        <v>11.646121809935735</v>
      </c>
    </row>
    <row r="168" spans="2:7" ht="28.9" customHeight="1">
      <c r="B168" s="93" t="s">
        <v>211</v>
      </c>
      <c r="C168" s="92">
        <f>10*LOG10((10^(EbNoAUser/10)*1000*DataRateO+10^(EbNoCUser/10)*1000*DataRateI)/(1000*OccupiedBwA+1000*OccupiedBwC))</f>
        <v>10.929610239464441</v>
      </c>
      <c r="E168" s="92">
        <f>10*LOG10((10^(EbNoBUser/10)*1000*DataRateO+10^(EbNoDUser/10)*1000*DataRateI)/(1000*OccupiedBwB+1000*OccupiedBwD))</f>
        <v>11.051954803634558</v>
      </c>
      <c r="F168" s="92"/>
    </row>
    <row r="169" spans="2:7" ht="28.9" customHeight="1">
      <c r="B169" s="93" t="s">
        <v>212</v>
      </c>
      <c r="C169" s="92">
        <f>10*LOG10((10^(EbNoAUser/10)*1000*DataRateO+10^(EbNoCUser/10)*1000*DataRateI))</f>
        <v>72.417456248278057</v>
      </c>
      <c r="E169" s="92">
        <f>10*LOG10((10^(EbNoBUser/10)*1000*DataRateO+10^(EbNoDUser/10)*1000*DataRateI))</f>
        <v>72.417456248278057</v>
      </c>
      <c r="F169" s="92"/>
    </row>
    <row r="170" spans="2:7">
      <c r="C170" s="92">
        <f>+VLOOKUP(CarrierPwrTotal,B168:F169,2,FALSE)</f>
        <v>10.929610239464441</v>
      </c>
      <c r="D170" s="92"/>
      <c r="E170" s="92">
        <f>+VLOOKUP(CarrierPwrTotal,B168:F169,4,FALSE)</f>
        <v>11.051954803634558</v>
      </c>
      <c r="F170" s="92"/>
    </row>
  </sheetData>
  <sheetProtection password="FD5F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79</vt:i4>
      </vt:variant>
    </vt:vector>
  </HeadingPairs>
  <TitlesOfParts>
    <vt:vector size="81" baseType="lpstr">
      <vt:lpstr>Sheet1</vt:lpstr>
      <vt:lpstr>Sheet2</vt:lpstr>
      <vt:lpstr>ActualRateA</vt:lpstr>
      <vt:lpstr>ActualRateB</vt:lpstr>
      <vt:lpstr>ActualRateC</vt:lpstr>
      <vt:lpstr>ActualRateD</vt:lpstr>
      <vt:lpstr>BitsPerHzA</vt:lpstr>
      <vt:lpstr>BitsPerHzB</vt:lpstr>
      <vt:lpstr>BitsPerHzC</vt:lpstr>
      <vt:lpstr>BitsPerHzD</vt:lpstr>
      <vt:lpstr>CarrierPwrA</vt:lpstr>
      <vt:lpstr>CarrierPwrAB</vt:lpstr>
      <vt:lpstr>CarrierPwrATotal</vt:lpstr>
      <vt:lpstr>CarrierPwrB</vt:lpstr>
      <vt:lpstr>CarrierPwrBTotal</vt:lpstr>
      <vt:lpstr>CarrierPwrC</vt:lpstr>
      <vt:lpstr>CarrierPwrCD</vt:lpstr>
      <vt:lpstr>CarrierPwrD</vt:lpstr>
      <vt:lpstr>CarrierPwrList</vt:lpstr>
      <vt:lpstr>CarrierPwrTotal</vt:lpstr>
      <vt:lpstr>CarrierTotalPwrList</vt:lpstr>
      <vt:lpstr>DataRateI</vt:lpstr>
      <vt:lpstr>DataRateO</vt:lpstr>
      <vt:lpstr>DelayA</vt:lpstr>
      <vt:lpstr>DelayB</vt:lpstr>
      <vt:lpstr>DelayC</vt:lpstr>
      <vt:lpstr>DelayD</vt:lpstr>
      <vt:lpstr>EbNoA</vt:lpstr>
      <vt:lpstr>EbNoAUser</vt:lpstr>
      <vt:lpstr>EbNoB</vt:lpstr>
      <vt:lpstr>EbNoBUser</vt:lpstr>
      <vt:lpstr>EbNoC</vt:lpstr>
      <vt:lpstr>EbNoCUser</vt:lpstr>
      <vt:lpstr>EbNoD</vt:lpstr>
      <vt:lpstr>EbNoDUser</vt:lpstr>
      <vt:lpstr>FecOptionA</vt:lpstr>
      <vt:lpstr>FecOptionAList</vt:lpstr>
      <vt:lpstr>FecOptionB</vt:lpstr>
      <vt:lpstr>FecOptionBList</vt:lpstr>
      <vt:lpstr>FecOptionC</vt:lpstr>
      <vt:lpstr>FecOptionCList</vt:lpstr>
      <vt:lpstr>FecOptionD</vt:lpstr>
      <vt:lpstr>FecOptionDList</vt:lpstr>
      <vt:lpstr>FecRateA</vt:lpstr>
      <vt:lpstr>FecRateAList</vt:lpstr>
      <vt:lpstr>FecRateB</vt:lpstr>
      <vt:lpstr>FecRateBList</vt:lpstr>
      <vt:lpstr>FecRateC</vt:lpstr>
      <vt:lpstr>FecRateCList</vt:lpstr>
      <vt:lpstr>FecRateD</vt:lpstr>
      <vt:lpstr>FecRateDList</vt:lpstr>
      <vt:lpstr>FecTypeA</vt:lpstr>
      <vt:lpstr>FecTypeAList</vt:lpstr>
      <vt:lpstr>FecTypeB</vt:lpstr>
      <vt:lpstr>FecTypeBList</vt:lpstr>
      <vt:lpstr>FecTypeC</vt:lpstr>
      <vt:lpstr>FecTypeCList</vt:lpstr>
      <vt:lpstr>FecTypeD</vt:lpstr>
      <vt:lpstr>FecTypeDList</vt:lpstr>
      <vt:lpstr>ModA</vt:lpstr>
      <vt:lpstr>ModB</vt:lpstr>
      <vt:lpstr>ModBitsA</vt:lpstr>
      <vt:lpstr>ModBitsB</vt:lpstr>
      <vt:lpstr>ModBitsC</vt:lpstr>
      <vt:lpstr>ModBitsD</vt:lpstr>
      <vt:lpstr>ModC</vt:lpstr>
      <vt:lpstr>ModD</vt:lpstr>
      <vt:lpstr>ModulationList</vt:lpstr>
      <vt:lpstr>OccupiedBwA</vt:lpstr>
      <vt:lpstr>OccupiedBwAScale</vt:lpstr>
      <vt:lpstr>OccupiedBwB</vt:lpstr>
      <vt:lpstr>OccupiedBwBScale</vt:lpstr>
      <vt:lpstr>OccupiedBwC</vt:lpstr>
      <vt:lpstr>OccupiedBwCScale</vt:lpstr>
      <vt:lpstr>OccupiedBwD</vt:lpstr>
      <vt:lpstr>OccupiedBwDScale</vt:lpstr>
      <vt:lpstr>OccupiedBwList</vt:lpstr>
      <vt:lpstr>SpecEffA</vt:lpstr>
      <vt:lpstr>SpecEffB</vt:lpstr>
      <vt:lpstr>SpecEffC</vt:lpstr>
      <vt:lpstr>SpecEffD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Bagby</dc:creator>
  <cp:lastModifiedBy>dkob</cp:lastModifiedBy>
  <dcterms:created xsi:type="dcterms:W3CDTF">2009-04-15T05:26:02Z</dcterms:created>
  <dcterms:modified xsi:type="dcterms:W3CDTF">2013-06-06T21:38:26Z</dcterms:modified>
</cp:coreProperties>
</file>